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11700" windowHeight="6480" tabRatio="706" firstSheet="8" activeTab="15"/>
  </bookViews>
  <sheets>
    <sheet name="1.1.sz.mell" sheetId="195" r:id="rId1"/>
    <sheet name="1.2.sz.mell" sheetId="212" r:id="rId2"/>
    <sheet name="1.3.sz.mell" sheetId="213" r:id="rId3"/>
    <sheet name="1.4.sz.mell" sheetId="214" r:id="rId4"/>
    <sheet name="2.1.sz.mell  " sheetId="215" r:id="rId5"/>
    <sheet name="2.2.sz.mell  " sheetId="216" r:id="rId6"/>
    <sheet name="6.sz.mell" sheetId="217" r:id="rId7"/>
    <sheet name="7.sz.mell" sheetId="219" r:id="rId8"/>
    <sheet name="9.sz.mell" sheetId="201" r:id="rId9"/>
    <sheet name="10.sz.mell" sheetId="205" r:id="rId10"/>
    <sheet name="11. sz.mell" sheetId="206" r:id="rId11"/>
    <sheet name="12.sz.mell" sheetId="207" r:id="rId12"/>
    <sheet name="13.1.sz.mell" sheetId="208" r:id="rId13"/>
    <sheet name="13.2.sz.mell" sheetId="211" r:id="rId14"/>
    <sheet name="13.3.sz.mell" sheetId="210" r:id="rId15"/>
    <sheet name="14. sz.mell." sheetId="220" r:id="rId16"/>
    <sheet name="15. sz. mell." sheetId="20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Titles" localSheetId="0">'1.1.sz.mell'!$4:$6</definedName>
    <definedName name="_xlnm.Print_Titles" localSheetId="1">'1.2.sz.mell'!$4:$5</definedName>
    <definedName name="_xlnm.Print_Titles" localSheetId="2">'1.3.sz.mell'!$4:$5</definedName>
    <definedName name="_xlnm.Print_Titles" localSheetId="3">'1.4.sz.mell'!$4:$5</definedName>
    <definedName name="_xlnm.Print_Titles" localSheetId="9">'10.sz.mell'!$1:$5</definedName>
    <definedName name="_xlnm.Print_Titles" localSheetId="10">'11. sz.mell'!$1:$6</definedName>
    <definedName name="_xlnm.Print_Titles" localSheetId="11">'12.sz.mell'!$1:$5</definedName>
    <definedName name="_xlnm.Print_Titles" localSheetId="12">'13.1.sz.mell'!$1:$6</definedName>
    <definedName name="_xlnm.Print_Titles" localSheetId="13">'13.2.sz.mell'!$1:$6</definedName>
    <definedName name="_xlnm.Print_Titles" localSheetId="14">'13.3.sz.mell'!$1:$6</definedName>
    <definedName name="_xlnm.Print_Titles" localSheetId="6">'6.sz.mell'!$3:$6</definedName>
    <definedName name="_xlnm.Print_Titles" localSheetId="8">'9.sz.mell'!$1:$6</definedName>
    <definedName name="_xlnm.Print_Area" localSheetId="0">'1.1.sz.mell'!$A$1:$F$176</definedName>
    <definedName name="_xlnm.Print_Area" localSheetId="1">'1.2.sz.mell'!$A$1:$F$168</definedName>
    <definedName name="_xlnm.Print_Area" localSheetId="2">'1.3.sz.mell'!$A$1:$F$168</definedName>
    <definedName name="_xlnm.Print_Area" localSheetId="3">'1.4.sz.mell'!$A$1:$F$167</definedName>
    <definedName name="_xlnm.Print_Area" localSheetId="15">'14. sz.mell.'!$A$1:$I$48</definedName>
    <definedName name="_xlnm.Print_Area" localSheetId="6">'6.sz.mell'!$A$1:$L$85</definedName>
    <definedName name="_xlnm.Print_Area" localSheetId="7">'7.sz.mell'!$A$1:$F$43</definedName>
    <definedName name="óvoda" localSheetId="0">#REF!</definedName>
    <definedName name="óvoda" localSheetId="10">#REF!</definedName>
    <definedName name="óvoda" localSheetId="11">#REF!</definedName>
    <definedName name="óvoda" localSheetId="12">#REF!</definedName>
    <definedName name="óvoda" localSheetId="13">#REF!</definedName>
    <definedName name="óvoda" localSheetId="14">#REF!</definedName>
    <definedName name="óvoda" localSheetId="16">#REF!</definedName>
    <definedName name="óvoda">#REF!</definedName>
    <definedName name="önkbercsényi" localSheetId="0">#REF!</definedName>
    <definedName name="önkbercsényi" localSheetId="10">#REF!</definedName>
    <definedName name="önkbercsényi" localSheetId="11">#REF!</definedName>
    <definedName name="önkbercsényi" localSheetId="12">#REF!</definedName>
    <definedName name="önkbercsényi" localSheetId="13">#REF!</definedName>
    <definedName name="önkbercsényi" localSheetId="14">#REF!</definedName>
    <definedName name="önkbercsényi" localSheetId="16">#REF!</definedName>
    <definedName name="önkbercsényi">#REF!</definedName>
    <definedName name="önkbölcsőde" localSheetId="0">#REF!</definedName>
    <definedName name="önkbölcsőde" localSheetId="10">#REF!</definedName>
    <definedName name="önkbölcsőde" localSheetId="11">#REF!</definedName>
    <definedName name="önkbölcsőde" localSheetId="12">#REF!</definedName>
    <definedName name="önkbölcsőde" localSheetId="13">#REF!</definedName>
    <definedName name="önkbölcsőde" localSheetId="14">#REF!</definedName>
    <definedName name="önkbölcsőde" localSheetId="16">#REF!</definedName>
    <definedName name="önkbölcsőde">#REF!</definedName>
    <definedName name="önkegymi" localSheetId="0">#REF!</definedName>
    <definedName name="önkegymi" localSheetId="10">#REF!</definedName>
    <definedName name="önkegymi" localSheetId="11">#REF!</definedName>
    <definedName name="önkegymi" localSheetId="12">#REF!</definedName>
    <definedName name="önkegymi" localSheetId="13">#REF!</definedName>
    <definedName name="önkegymi" localSheetId="14">#REF!</definedName>
    <definedName name="önkegymi" localSheetId="16">#REF!</definedName>
    <definedName name="önkegymi">#REF!</definedName>
    <definedName name="önkgondkp" localSheetId="0">#REF!</definedName>
    <definedName name="önkgondkp" localSheetId="10">#REF!</definedName>
    <definedName name="önkgondkp" localSheetId="11">#REF!</definedName>
    <definedName name="önkgondkp" localSheetId="12">#REF!</definedName>
    <definedName name="önkgondkp" localSheetId="13">#REF!</definedName>
    <definedName name="önkgondkp" localSheetId="14">#REF!</definedName>
    <definedName name="önkgondkp" localSheetId="16">#REF!</definedName>
    <definedName name="önkgondkp">#REF!</definedName>
    <definedName name="önkhunyadi" localSheetId="0">#REF!</definedName>
    <definedName name="önkhunyadi" localSheetId="10">#REF!</definedName>
    <definedName name="önkhunyadi" localSheetId="11">#REF!</definedName>
    <definedName name="önkhunyadi" localSheetId="12">#REF!</definedName>
    <definedName name="önkhunyadi" localSheetId="13">#REF!</definedName>
    <definedName name="önkhunyadi" localSheetId="14">#REF!</definedName>
    <definedName name="önkhunyadi" localSheetId="16">#REF!</definedName>
    <definedName name="önkhunyadi">#REF!</definedName>
    <definedName name="önkkodály" localSheetId="0">#REF!</definedName>
    <definedName name="önkkodály" localSheetId="10">#REF!</definedName>
    <definedName name="önkkodály" localSheetId="11">#REF!</definedName>
    <definedName name="önkkodály" localSheetId="12">#REF!</definedName>
    <definedName name="önkkodály" localSheetId="13">#REF!</definedName>
    <definedName name="önkkodály" localSheetId="14">#REF!</definedName>
    <definedName name="önkkodály" localSheetId="16">#REF!</definedName>
    <definedName name="önkkodály">#REF!</definedName>
    <definedName name="önkkonyha" localSheetId="0">#REF!</definedName>
    <definedName name="önkkonyha" localSheetId="10">#REF!</definedName>
    <definedName name="önkkonyha" localSheetId="11">#REF!</definedName>
    <definedName name="önkkonyha" localSheetId="12">#REF!</definedName>
    <definedName name="önkkonyha" localSheetId="13">#REF!</definedName>
    <definedName name="önkkonyha" localSheetId="14">#REF!</definedName>
    <definedName name="önkkonyha" localSheetId="16">#REF!</definedName>
    <definedName name="önkkonyha">#REF!</definedName>
    <definedName name="önkkölcsey" localSheetId="0">#REF!</definedName>
    <definedName name="önkkölcsey" localSheetId="10">#REF!</definedName>
    <definedName name="önkkölcsey" localSheetId="11">#REF!</definedName>
    <definedName name="önkkölcsey" localSheetId="12">#REF!</definedName>
    <definedName name="önkkölcsey" localSheetId="13">#REF!</definedName>
    <definedName name="önkkölcsey" localSheetId="14">#REF!</definedName>
    <definedName name="önkkölcsey" localSheetId="16">#REF!</definedName>
    <definedName name="önkkölcsey">#REF!</definedName>
    <definedName name="önkkönyvtár" localSheetId="0">#REF!</definedName>
    <definedName name="önkkönyvtár" localSheetId="10">#REF!</definedName>
    <definedName name="önkkönyvtár" localSheetId="11">#REF!</definedName>
    <definedName name="önkkönyvtár" localSheetId="12">#REF!</definedName>
    <definedName name="önkkönyvtár" localSheetId="13">#REF!</definedName>
    <definedName name="önkkönyvtár" localSheetId="14">#REF!</definedName>
    <definedName name="önkkönyvtár" localSheetId="16">#REF!</definedName>
    <definedName name="önkkönyvtár">#REF!</definedName>
    <definedName name="önkktgvtám" localSheetId="0">#REF!</definedName>
    <definedName name="önkktgvtám" localSheetId="10">#REF!</definedName>
    <definedName name="önkktgvtám" localSheetId="11">#REF!</definedName>
    <definedName name="önkktgvtám" localSheetId="12">#REF!</definedName>
    <definedName name="önkktgvtám" localSheetId="13">#REF!</definedName>
    <definedName name="önkktgvtám" localSheetId="14">#REF!</definedName>
    <definedName name="önkktgvtám" localSheetId="16">#REF!</definedName>
    <definedName name="önkktgvtám">#REF!</definedName>
    <definedName name="önklábassy" localSheetId="0">#REF!</definedName>
    <definedName name="önklábassy" localSheetId="10">#REF!</definedName>
    <definedName name="önklábassy" localSheetId="11">#REF!</definedName>
    <definedName name="önklábassy" localSheetId="12">#REF!</definedName>
    <definedName name="önklábassy" localSheetId="13">#REF!</definedName>
    <definedName name="önklábassy" localSheetId="14">#REF!</definedName>
    <definedName name="önklábassy" localSheetId="16">#REF!</definedName>
    <definedName name="önklábassy">#REF!</definedName>
    <definedName name="önkműkbev" localSheetId="0">#REF!</definedName>
    <definedName name="önkműkbev" localSheetId="10">#REF!</definedName>
    <definedName name="önkműkbev" localSheetId="11">#REF!</definedName>
    <definedName name="önkműkbev" localSheetId="12">#REF!</definedName>
    <definedName name="önkműkbev" localSheetId="13">#REF!</definedName>
    <definedName name="önkműkbev" localSheetId="14">#REF!</definedName>
    <definedName name="önkműkbev" localSheetId="16">#REF!</definedName>
    <definedName name="önkműkbev">#REF!</definedName>
    <definedName name="önkóvoda" localSheetId="0">#REF!</definedName>
    <definedName name="önkóvoda" localSheetId="10">#REF!</definedName>
    <definedName name="önkóvoda" localSheetId="11">#REF!</definedName>
    <definedName name="önkóvoda" localSheetId="12">#REF!</definedName>
    <definedName name="önkóvoda" localSheetId="13">#REF!</definedName>
    <definedName name="önkóvoda" localSheetId="14">#REF!</definedName>
    <definedName name="önkóvoda" localSheetId="16">#REF!</definedName>
    <definedName name="önkóvoda">#REF!</definedName>
    <definedName name="önkpbo" localSheetId="0">#REF!</definedName>
    <definedName name="önkpbo" localSheetId="10">#REF!</definedName>
    <definedName name="önkpbo" localSheetId="11">#REF!</definedName>
    <definedName name="önkpbo" localSheetId="12">#REF!</definedName>
    <definedName name="önkpbo" localSheetId="13">#REF!</definedName>
    <definedName name="önkpbo" localSheetId="14">#REF!</definedName>
    <definedName name="önkpbo" localSheetId="16">#REF!</definedName>
    <definedName name="önkpbo">#REF!</definedName>
    <definedName name="önkpetőfi" localSheetId="0">#REF!</definedName>
    <definedName name="önkpetőfi" localSheetId="10">#REF!</definedName>
    <definedName name="önkpetőfi" localSheetId="11">#REF!</definedName>
    <definedName name="önkpetőfi" localSheetId="12">#REF!</definedName>
    <definedName name="önkpetőfi" localSheetId="13">#REF!</definedName>
    <definedName name="önkpetőfi" localSheetId="14">#REF!</definedName>
    <definedName name="önkpetőfi" localSheetId="16">#REF!</definedName>
    <definedName name="önkpetőfi">#REF!</definedName>
    <definedName name="önksajátos1">#REF!</definedName>
    <definedName name="önkszékács" localSheetId="0">#REF!</definedName>
    <definedName name="önkszékács" localSheetId="10">#REF!</definedName>
    <definedName name="önkszékács" localSheetId="11">#REF!</definedName>
    <definedName name="önkszékács" localSheetId="12">#REF!</definedName>
    <definedName name="önkszékács" localSheetId="13">#REF!</definedName>
    <definedName name="önkszékács" localSheetId="14">#REF!</definedName>
    <definedName name="önkszékács" localSheetId="16">#REF!</definedName>
    <definedName name="önkszékács">#REF!</definedName>
    <definedName name="önkvmk" localSheetId="0">#REF!</definedName>
    <definedName name="önkvmk" localSheetId="10">#REF!</definedName>
    <definedName name="önkvmk" localSheetId="11">#REF!</definedName>
    <definedName name="önkvmk" localSheetId="12">#REF!</definedName>
    <definedName name="önkvmk" localSheetId="13">#REF!</definedName>
    <definedName name="önkvmk" localSheetId="14">#REF!</definedName>
    <definedName name="önkvmk" localSheetId="16">#REF!</definedName>
    <definedName name="önkvmk">#REF!</definedName>
    <definedName name="összbev" localSheetId="15">'[2]2. bev-kiad. önk.'!$C$39</definedName>
    <definedName name="összbev">'[2]2. bev-kiad. önk.'!$C$39</definedName>
    <definedName name="összkiad" localSheetId="15">'[2]2. bev-kiad. önk.'!$C$53</definedName>
    <definedName name="összkiad">'[2]2. bev-kiad. önk.'!$C$53</definedName>
    <definedName name="pálybev" localSheetId="0">#REF!</definedName>
    <definedName name="pálybev" localSheetId="10">#REF!</definedName>
    <definedName name="pálybev" localSheetId="11">#REF!</definedName>
    <definedName name="pálybev" localSheetId="12">#REF!</definedName>
    <definedName name="pálybev" localSheetId="13">#REF!</definedName>
    <definedName name="pálybev" localSheetId="14">#REF!</definedName>
    <definedName name="pálybev" localSheetId="16">#REF!</definedName>
    <definedName name="pálybev">#REF!</definedName>
    <definedName name="pálybev1">#REF!</definedName>
    <definedName name="pbo" localSheetId="0">#REF!</definedName>
    <definedName name="pbo" localSheetId="10">#REF!</definedName>
    <definedName name="pbo" localSheetId="11">#REF!</definedName>
    <definedName name="pbo" localSheetId="12">#REF!</definedName>
    <definedName name="pbo" localSheetId="13">#REF!</definedName>
    <definedName name="pbo" localSheetId="14">#REF!</definedName>
    <definedName name="pbo" localSheetId="16">#REF!</definedName>
    <definedName name="pbo">#REF!</definedName>
    <definedName name="pénzeszkátad" localSheetId="0">#REF!</definedName>
    <definedName name="pénzeszkátad" localSheetId="10">#REF!</definedName>
    <definedName name="pénzeszkátad" localSheetId="11">#REF!</definedName>
    <definedName name="pénzeszkátad" localSheetId="12">#REF!</definedName>
    <definedName name="pénzeszkátad" localSheetId="13">#REF!</definedName>
    <definedName name="pénzeszkátad" localSheetId="14">#REF!</definedName>
    <definedName name="pénzeszkátad" localSheetId="16">#REF!</definedName>
    <definedName name="pénzeszkátad">#REF!</definedName>
    <definedName name="pénzfognélk1">#REF!</definedName>
    <definedName name="pénzforgnélk1">#REF!</definedName>
    <definedName name="pénzforgnélkül" localSheetId="0">#REF!</definedName>
    <definedName name="pénzforgnélkül" localSheetId="10">#REF!</definedName>
    <definedName name="pénzforgnélkül" localSheetId="11">#REF!</definedName>
    <definedName name="pénzforgnélkül" localSheetId="12">#REF!</definedName>
    <definedName name="pénzforgnélkül" localSheetId="13">#REF!</definedName>
    <definedName name="pénzforgnélkül" localSheetId="14">#REF!</definedName>
    <definedName name="pénzforgnélkül" localSheetId="16">#REF!</definedName>
    <definedName name="pénzforgnélkül">#REF!</definedName>
    <definedName name="pénzm" localSheetId="0">#REF!</definedName>
    <definedName name="pénzm" localSheetId="10">#REF!</definedName>
    <definedName name="pénzm" localSheetId="11">#REF!</definedName>
    <definedName name="pénzm" localSheetId="12">#REF!</definedName>
    <definedName name="pénzm" localSheetId="13">#REF!</definedName>
    <definedName name="pénzm" localSheetId="14">#REF!</definedName>
    <definedName name="pénzm" localSheetId="16">#REF!</definedName>
    <definedName name="pénzm">#REF!</definedName>
    <definedName name="pénzügyibef" localSheetId="0">#REF!</definedName>
    <definedName name="pénzügyibef" localSheetId="10">#REF!</definedName>
    <definedName name="pénzügyibef" localSheetId="11">#REF!</definedName>
    <definedName name="pénzügyibef" localSheetId="12">#REF!</definedName>
    <definedName name="pénzügyibef" localSheetId="13">#REF!</definedName>
    <definedName name="pénzügyibef" localSheetId="14">#REF!</definedName>
    <definedName name="pénzügyibef" localSheetId="16">#REF!</definedName>
    <definedName name="pénzügyibef">#REF!</definedName>
    <definedName name="pénzügyibef1">#REF!</definedName>
    <definedName name="peszkátad4">#REF!</definedName>
    <definedName name="petőfi" localSheetId="0">#REF!</definedName>
    <definedName name="petőfi" localSheetId="10">#REF!</definedName>
    <definedName name="petőfi" localSheetId="11">#REF!</definedName>
    <definedName name="petőfi" localSheetId="12">#REF!</definedName>
    <definedName name="petőfi" localSheetId="13">#REF!</definedName>
    <definedName name="petőfi" localSheetId="14">#REF!</definedName>
    <definedName name="petőfi" localSheetId="16">#REF!</definedName>
    <definedName name="petőfi">#REF!</definedName>
    <definedName name="phdologi" localSheetId="0">#REF!</definedName>
    <definedName name="phdologi" localSheetId="10">#REF!</definedName>
    <definedName name="phdologi" localSheetId="11">#REF!</definedName>
    <definedName name="phdologi" localSheetId="12">#REF!</definedName>
    <definedName name="phdologi" localSheetId="13">#REF!</definedName>
    <definedName name="phdologi" localSheetId="14">#REF!</definedName>
    <definedName name="phdologi" localSheetId="16">#REF!</definedName>
    <definedName name="phdologi">#REF!</definedName>
    <definedName name="phműkbev" localSheetId="0">#REF!</definedName>
    <definedName name="phműkbev" localSheetId="10">#REF!</definedName>
    <definedName name="phműkbev" localSheetId="11">#REF!</definedName>
    <definedName name="phműkbev" localSheetId="12">#REF!</definedName>
    <definedName name="phműkbev" localSheetId="13">#REF!</definedName>
    <definedName name="phműkbev" localSheetId="14">#REF!</definedName>
    <definedName name="phműkbev" localSheetId="16">#REF!</definedName>
    <definedName name="phműkbev">#REF!</definedName>
    <definedName name="phműkbev1">#REF!</definedName>
    <definedName name="phműkc1">#REF!</definedName>
    <definedName name="phsajbev" localSheetId="15">[1]Munka6!$C$21</definedName>
    <definedName name="phsajbev">[1]Munka6!$C$21</definedName>
    <definedName name="phszoc" localSheetId="0">#REF!</definedName>
    <definedName name="phszoc" localSheetId="10">#REF!</definedName>
    <definedName name="phszoc" localSheetId="11">#REF!</definedName>
    <definedName name="phszoc" localSheetId="12">#REF!</definedName>
    <definedName name="phszoc" localSheetId="13">#REF!</definedName>
    <definedName name="phszoc" localSheetId="14">#REF!</definedName>
    <definedName name="phszoc" localSheetId="16">#REF!</definedName>
    <definedName name="phszoc">#REF!</definedName>
    <definedName name="pm" localSheetId="0">#REF!</definedName>
    <definedName name="pm" localSheetId="10">#REF!</definedName>
    <definedName name="pm" localSheetId="11">#REF!</definedName>
    <definedName name="pm" localSheetId="12">#REF!</definedName>
    <definedName name="pm" localSheetId="13">#REF!</definedName>
    <definedName name="pm" localSheetId="14">#REF!</definedName>
    <definedName name="pm" localSheetId="16">#REF!</definedName>
    <definedName name="pm">#REF!</definedName>
    <definedName name="pótl" localSheetId="15">[1]Munka6!$C$20</definedName>
    <definedName name="pótl">[1]Munka6!$C$20</definedName>
    <definedName name="pótlék" localSheetId="0">#REF!</definedName>
    <definedName name="pótlék" localSheetId="10">#REF!</definedName>
    <definedName name="pótlék" localSheetId="11">#REF!</definedName>
    <definedName name="pótlék" localSheetId="12">#REF!</definedName>
    <definedName name="pótlék" localSheetId="13">#REF!</definedName>
    <definedName name="pótlék" localSheetId="14">#REF!</definedName>
    <definedName name="pótlék" localSheetId="16">#REF!</definedName>
    <definedName name="pótlék">#REF!</definedName>
    <definedName name="sajfelh1">#REF!</definedName>
    <definedName name="semmi">[5]Munka2!$P$23</definedName>
    <definedName name="semmi10">[5]Munka6!$C$21</definedName>
    <definedName name="semmi11">[5]Munka6!$C$20</definedName>
    <definedName name="semmi12">[5]Munka6!$C$19</definedName>
    <definedName name="semmi13">[5]Munka6!$C$7</definedName>
    <definedName name="semmi14">[5]Munka6!$C$8</definedName>
    <definedName name="semmi15">[5]Munka6!$C$17</definedName>
    <definedName name="semmi16">[5]Munka2!$P$23</definedName>
    <definedName name="semmi17">[5]Munka2!$P$22</definedName>
    <definedName name="semmi18">[5]Munka6!$C$16</definedName>
    <definedName name="semmi19">[5]Munka6!$C$11</definedName>
    <definedName name="semmi2">[5]Munka2!$P$22</definedName>
    <definedName name="semmi20">[5]Munka6!$C$15</definedName>
    <definedName name="semmi21">[5]Munka6!$C$18</definedName>
    <definedName name="semmi22">[5]Munka6!$C$10</definedName>
    <definedName name="semmi23" localSheetId="0">'[4]4. bevételek int-ként'!#REF!</definedName>
    <definedName name="semmi23" localSheetId="10">'[4]4. bevételek int-ként'!#REF!</definedName>
    <definedName name="semmi23" localSheetId="11">'[4]4. bevételek int-ként'!#REF!</definedName>
    <definedName name="semmi23" localSheetId="12">'[4]4. bevételek int-ként'!#REF!</definedName>
    <definedName name="semmi23" localSheetId="13">'[4]4. bevételek int-ként'!#REF!</definedName>
    <definedName name="semmi23" localSheetId="14">'[4]4. bevételek int-ként'!#REF!</definedName>
    <definedName name="semmi23" localSheetId="16">'[4]4. bevételek int-ként'!#REF!</definedName>
    <definedName name="semmi23">'[4]4. bevételek int-ként'!#REF!</definedName>
    <definedName name="semmi24" localSheetId="0">'[4]4. bevételek int-ként'!#REF!</definedName>
    <definedName name="semmi24" localSheetId="10">'[4]4. bevételek int-ként'!#REF!</definedName>
    <definedName name="semmi24" localSheetId="11">'[4]4. bevételek int-ként'!#REF!</definedName>
    <definedName name="semmi24" localSheetId="12">'[4]4. bevételek int-ként'!#REF!</definedName>
    <definedName name="semmi24" localSheetId="13">'[4]4. bevételek int-ként'!#REF!</definedName>
    <definedName name="semmi24" localSheetId="14">'[4]4. bevételek int-ként'!#REF!</definedName>
    <definedName name="semmi24" localSheetId="16">'[4]4. bevételek int-ként'!#REF!</definedName>
    <definedName name="semmi24">'[4]4. bevételek int-ként'!#REF!</definedName>
    <definedName name="semmi25">[5]Munka6!$C$21</definedName>
    <definedName name="semmi26">[5]Munka6!$C$20</definedName>
    <definedName name="semmi27">[5]Munka6!$C$19</definedName>
    <definedName name="semmi28">[5]Munka6!$C$7</definedName>
    <definedName name="semmi29">[5]Munka6!$C$8</definedName>
    <definedName name="semmi3">[5]Munka6!$C$16</definedName>
    <definedName name="semmi30">[5]Munka6!$C$17</definedName>
    <definedName name="semmi4">[5]Munka6!$C$11</definedName>
    <definedName name="semmi5">[5]Munka6!$C$15</definedName>
    <definedName name="semmi6">[5]Munka6!$C$18</definedName>
    <definedName name="semmi7">[5]Munka6!$C$10</definedName>
    <definedName name="semmi8" localSheetId="0">'[4]4. bevételek int-ként'!#REF!</definedName>
    <definedName name="semmi8" localSheetId="10">'[4]4. bevételek int-ként'!#REF!</definedName>
    <definedName name="semmi8" localSheetId="11">'[4]4. bevételek int-ként'!#REF!</definedName>
    <definedName name="semmi8" localSheetId="12">'[4]4. bevételek int-ként'!#REF!</definedName>
    <definedName name="semmi8" localSheetId="13">'[4]4. bevételek int-ként'!#REF!</definedName>
    <definedName name="semmi8" localSheetId="14">'[4]4. bevételek int-ként'!#REF!</definedName>
    <definedName name="semmi8" localSheetId="16">'[4]4. bevételek int-ként'!#REF!</definedName>
    <definedName name="semmi8">'[4]4. bevételek int-ként'!#REF!</definedName>
    <definedName name="semmi9" localSheetId="0">'[4]4. bevételek int-ként'!#REF!</definedName>
    <definedName name="semmi9" localSheetId="10">'[4]4. bevételek int-ként'!#REF!</definedName>
    <definedName name="semmi9" localSheetId="11">'[4]4. bevételek int-ként'!#REF!</definedName>
    <definedName name="semmi9" localSheetId="12">'[4]4. bevételek int-ként'!#REF!</definedName>
    <definedName name="semmi9" localSheetId="13">'[4]4. bevételek int-ként'!#REF!</definedName>
    <definedName name="semmi9" localSheetId="14">'[4]4. bevételek int-ként'!#REF!</definedName>
    <definedName name="semmi9" localSheetId="16">'[4]4. bevételek int-ként'!#REF!</definedName>
    <definedName name="semmi9">'[4]4. bevételek int-ként'!#REF!</definedName>
    <definedName name="szabsbírság" localSheetId="15">[1]Munka6!$C$19</definedName>
    <definedName name="szabsbírság">[1]Munka6!$C$19</definedName>
    <definedName name="szabsért" localSheetId="0">#REF!</definedName>
    <definedName name="szabsért" localSheetId="10">#REF!</definedName>
    <definedName name="szabsért" localSheetId="11">#REF!</definedName>
    <definedName name="szabsért" localSheetId="12">#REF!</definedName>
    <definedName name="szabsért" localSheetId="13">#REF!</definedName>
    <definedName name="szabsért" localSheetId="14">#REF!</definedName>
    <definedName name="szabsért" localSheetId="16">#REF!</definedName>
    <definedName name="szabsért">#REF!</definedName>
    <definedName name="székács" localSheetId="0">#REF!</definedName>
    <definedName name="székács" localSheetId="10">#REF!</definedName>
    <definedName name="székács" localSheetId="11">#REF!</definedName>
    <definedName name="székács" localSheetId="12">#REF!</definedName>
    <definedName name="székács" localSheetId="13">#REF!</definedName>
    <definedName name="székács" localSheetId="14">#REF!</definedName>
    <definedName name="székács" localSheetId="16">#REF!</definedName>
    <definedName name="székács">#REF!</definedName>
    <definedName name="szemckö4">#REF!</definedName>
    <definedName name="szemegy8.12" localSheetId="15">#REF!</definedName>
    <definedName name="szemegy8.12">#REF!</definedName>
    <definedName name="szemegy8.13" localSheetId="15">#REF!</definedName>
    <definedName name="szemegy8.13">#REF!</definedName>
    <definedName name="személyiph" localSheetId="0">#REF!</definedName>
    <definedName name="személyiph" localSheetId="10">#REF!</definedName>
    <definedName name="személyiph" localSheetId="11">#REF!</definedName>
    <definedName name="személyiph" localSheetId="12">#REF!</definedName>
    <definedName name="személyiph" localSheetId="13">#REF!</definedName>
    <definedName name="személyiph" localSheetId="14">#REF!</definedName>
    <definedName name="személyiph" localSheetId="16">#REF!</definedName>
    <definedName name="személyiph">#REF!</definedName>
    <definedName name="szemjutt" localSheetId="0">#REF!</definedName>
    <definedName name="szemjutt" localSheetId="10">#REF!</definedName>
    <definedName name="szemjutt" localSheetId="11">#REF!</definedName>
    <definedName name="szemjutt" localSheetId="12">#REF!</definedName>
    <definedName name="szemjutt" localSheetId="13">#REF!</definedName>
    <definedName name="szemjutt" localSheetId="14">#REF!</definedName>
    <definedName name="szemjutt" localSheetId="16">#REF!</definedName>
    <definedName name="szemjutt">#REF!</definedName>
    <definedName name="szemjutt4">#REF!</definedName>
    <definedName name="szemkist4" localSheetId="0">#REF!</definedName>
    <definedName name="szemkist4" localSheetId="10">#REF!</definedName>
    <definedName name="szemkist4" localSheetId="11">#REF!</definedName>
    <definedName name="szemkist4" localSheetId="12">#REF!</definedName>
    <definedName name="szemkist4" localSheetId="13">#REF!</definedName>
    <definedName name="szemkist4" localSheetId="14">#REF!</definedName>
    <definedName name="szemkist4" localSheetId="16">#REF!</definedName>
    <definedName name="szemkist4">#REF!</definedName>
    <definedName name="szemph" localSheetId="0">#REF!</definedName>
    <definedName name="szemph" localSheetId="10">#REF!</definedName>
    <definedName name="szemph" localSheetId="11">#REF!</definedName>
    <definedName name="szemph" localSheetId="12">#REF!</definedName>
    <definedName name="szemph" localSheetId="13">#REF!</definedName>
    <definedName name="szemph" localSheetId="14">#REF!</definedName>
    <definedName name="szemph" localSheetId="16">#REF!</definedName>
    <definedName name="szemph">#REF!</definedName>
    <definedName name="szemph5">#REF!</definedName>
    <definedName name="szemph8.12" localSheetId="15">#REF!</definedName>
    <definedName name="szemph8.12">#REF!</definedName>
    <definedName name="szjahelyben" localSheetId="0">#REF!</definedName>
    <definedName name="szjahelyben" localSheetId="10">#REF!</definedName>
    <definedName name="szjahelyben" localSheetId="11">#REF!</definedName>
    <definedName name="szjahelyben" localSheetId="12">#REF!</definedName>
    <definedName name="szjahelyben" localSheetId="13">#REF!</definedName>
    <definedName name="szjahelyben" localSheetId="14">#REF!</definedName>
    <definedName name="szjahelyben" localSheetId="16">#REF!</definedName>
    <definedName name="szjahelyben">#REF!</definedName>
    <definedName name="szjahelyben1">#REF!</definedName>
    <definedName name="szjahelybenm" localSheetId="15">[1]Munka6!$C$7</definedName>
    <definedName name="szjahelybenm">[1]Munka6!$C$7</definedName>
    <definedName name="szjajövkül" localSheetId="0">#REF!</definedName>
    <definedName name="szjajövkül" localSheetId="10">#REF!</definedName>
    <definedName name="szjajövkül" localSheetId="11">#REF!</definedName>
    <definedName name="szjajövkül" localSheetId="12">#REF!</definedName>
    <definedName name="szjajövkül" localSheetId="13">#REF!</definedName>
    <definedName name="szjajövkül" localSheetId="14">#REF!</definedName>
    <definedName name="szjajövkül" localSheetId="16">#REF!</definedName>
    <definedName name="szjajövkül">#REF!</definedName>
    <definedName name="szjajövkül1">#REF!</definedName>
    <definedName name="szjakül" localSheetId="15">[1]Munka6!$C$8</definedName>
    <definedName name="szjakül">[1]Munka6!$C$8</definedName>
    <definedName name="szocátv" localSheetId="0">#REF!</definedName>
    <definedName name="szocátv" localSheetId="10">#REF!</definedName>
    <definedName name="szocátv" localSheetId="11">#REF!</definedName>
    <definedName name="szocátv" localSheetId="12">#REF!</definedName>
    <definedName name="szocátv" localSheetId="13">#REF!</definedName>
    <definedName name="szocátv" localSheetId="14">#REF!</definedName>
    <definedName name="szocátv" localSheetId="16">#REF!</definedName>
    <definedName name="szocátv">#REF!</definedName>
    <definedName name="szocph" localSheetId="0">#REF!</definedName>
    <definedName name="szocph" localSheetId="10">#REF!</definedName>
    <definedName name="szocph" localSheetId="11">#REF!</definedName>
    <definedName name="szocph" localSheetId="12">#REF!</definedName>
    <definedName name="szocph" localSheetId="13">#REF!</definedName>
    <definedName name="szocph" localSheetId="14">#REF!</definedName>
    <definedName name="szocph" localSheetId="16">#REF!</definedName>
    <definedName name="szocph">#REF!</definedName>
    <definedName name="szocph5">#REF!</definedName>
    <definedName name="szocsegélyph" localSheetId="0">#REF!</definedName>
    <definedName name="szocsegélyph" localSheetId="10">#REF!</definedName>
    <definedName name="szocsegélyph" localSheetId="11">#REF!</definedName>
    <definedName name="szocsegélyph" localSheetId="12">#REF!</definedName>
    <definedName name="szocsegélyph" localSheetId="13">#REF!</definedName>
    <definedName name="szocsegélyph" localSheetId="14">#REF!</definedName>
    <definedName name="szocsegélyph" localSheetId="16">#REF!</definedName>
    <definedName name="szocsegélyph">#REF!</definedName>
    <definedName name="talajt" localSheetId="0">#REF!</definedName>
    <definedName name="talajt" localSheetId="10">#REF!</definedName>
    <definedName name="talajt" localSheetId="11">#REF!</definedName>
    <definedName name="talajt" localSheetId="12">#REF!</definedName>
    <definedName name="talajt" localSheetId="13">#REF!</definedName>
    <definedName name="talajt" localSheetId="14">#REF!</definedName>
    <definedName name="talajt" localSheetId="16">#REF!</definedName>
    <definedName name="talajt">#REF!</definedName>
    <definedName name="támkölcs1" localSheetId="0">#REF!</definedName>
    <definedName name="támkölcs1" localSheetId="10">#REF!</definedName>
    <definedName name="támkölcs1" localSheetId="11">#REF!</definedName>
    <definedName name="támkölcs1" localSheetId="12">#REF!</definedName>
    <definedName name="támkölcs1" localSheetId="13">#REF!</definedName>
    <definedName name="támkölcs1" localSheetId="14">#REF!</definedName>
    <definedName name="támkölcs1" localSheetId="16">#REF!</definedName>
    <definedName name="támkölcs1">#REF!</definedName>
    <definedName name="támkölcsön" localSheetId="0">#REF!</definedName>
    <definedName name="támkölcsön" localSheetId="10">#REF!</definedName>
    <definedName name="támkölcsön" localSheetId="11">#REF!</definedName>
    <definedName name="támkölcsön" localSheetId="12">#REF!</definedName>
    <definedName name="támkölcsön" localSheetId="13">#REF!</definedName>
    <definedName name="támkölcsön" localSheetId="14">#REF!</definedName>
    <definedName name="támkölcsön" localSheetId="16">#REF!</definedName>
    <definedName name="támkölcsön">#REF!</definedName>
    <definedName name="támogatások" localSheetId="0">#REF!</definedName>
    <definedName name="támogatások" localSheetId="10">#REF!</definedName>
    <definedName name="támogatások" localSheetId="11">#REF!</definedName>
    <definedName name="támogatások" localSheetId="12">#REF!</definedName>
    <definedName name="támogatások" localSheetId="13">#REF!</definedName>
    <definedName name="támogatások" localSheetId="14">#REF!</definedName>
    <definedName name="támogatások" localSheetId="16">#REF!</definedName>
    <definedName name="támogatások">#REF!</definedName>
    <definedName name="támogatások1">#REF!</definedName>
    <definedName name="tárgyi" localSheetId="0">#REF!</definedName>
    <definedName name="tárgyi" localSheetId="10">#REF!</definedName>
    <definedName name="tárgyi" localSheetId="11">#REF!</definedName>
    <definedName name="tárgyi" localSheetId="12">#REF!</definedName>
    <definedName name="tárgyi" localSheetId="13">#REF!</definedName>
    <definedName name="tárgyi" localSheetId="14">#REF!</definedName>
    <definedName name="tárgyi" localSheetId="16">#REF!</definedName>
    <definedName name="tárgyi">#REF!</definedName>
    <definedName name="tárgyi1">#REF!</definedName>
    <definedName name="tartalék4" localSheetId="0">#REF!</definedName>
    <definedName name="tartalék4" localSheetId="10">#REF!</definedName>
    <definedName name="tartalék4" localSheetId="11">#REF!</definedName>
    <definedName name="tartalék4" localSheetId="12">#REF!</definedName>
    <definedName name="tartalék4" localSheetId="13">#REF!</definedName>
    <definedName name="tartalék4" localSheetId="14">#REF!</definedName>
    <definedName name="tartalék4" localSheetId="16">#REF!</definedName>
    <definedName name="tartalék4">#REF!</definedName>
    <definedName name="termőf" localSheetId="0">#REF!</definedName>
    <definedName name="termőf" localSheetId="10">#REF!</definedName>
    <definedName name="termőf" localSheetId="11">#REF!</definedName>
    <definedName name="termőf" localSheetId="12">#REF!</definedName>
    <definedName name="termőf" localSheetId="13">#REF!</definedName>
    <definedName name="termőf" localSheetId="14">#REF!</definedName>
    <definedName name="termőf" localSheetId="16">#REF!</definedName>
    <definedName name="termőf">#REF!</definedName>
    <definedName name="termőfbérbe" localSheetId="15">[1]Munka6!$C$17</definedName>
    <definedName name="termőfbérbe">[1]Munka6!$C$17</definedName>
    <definedName name="termőföld1">#REF!</definedName>
    <definedName name="vizikátv" localSheetId="0">#REF!</definedName>
    <definedName name="vizikátv" localSheetId="10">#REF!</definedName>
    <definedName name="vizikátv" localSheetId="11">#REF!</definedName>
    <definedName name="vizikátv" localSheetId="12">#REF!</definedName>
    <definedName name="vizikátv" localSheetId="13">#REF!</definedName>
    <definedName name="vizikátv" localSheetId="14">#REF!</definedName>
    <definedName name="vizikátv" localSheetId="16">#REF!</definedName>
    <definedName name="vizikátv">#REF!</definedName>
    <definedName name="vizikátv1" localSheetId="0">#REF!</definedName>
    <definedName name="vizikátv1" localSheetId="10">#REF!</definedName>
    <definedName name="vizikátv1" localSheetId="11">#REF!</definedName>
    <definedName name="vizikátv1" localSheetId="12">#REF!</definedName>
    <definedName name="vizikátv1" localSheetId="13">#REF!</definedName>
    <definedName name="vizikátv1" localSheetId="14">#REF!</definedName>
    <definedName name="vizikátv1" localSheetId="16">#REF!</definedName>
    <definedName name="vizikátv1">#REF!</definedName>
    <definedName name="vizikfelh3" localSheetId="0">'[2]7. felhalm.kiad.'!#REF!</definedName>
    <definedName name="vizikfelh3" localSheetId="10">'[2]7. felhalm.kiad.'!#REF!</definedName>
    <definedName name="vizikfelh3" localSheetId="11">'[2]7. felhalm.kiad.'!#REF!</definedName>
    <definedName name="vizikfelh3" localSheetId="12">'[2]7. felhalm.kiad.'!#REF!</definedName>
    <definedName name="vizikfelh3" localSheetId="13">'[2]7. felhalm.kiad.'!#REF!</definedName>
    <definedName name="vizikfelh3" localSheetId="14">'[2]7. felhalm.kiad.'!#REF!</definedName>
    <definedName name="vizikfelh3" localSheetId="15">'[2]7. felhalm.kiad.'!#REF!</definedName>
    <definedName name="vizikfelh3" localSheetId="16">'[2]7. felhalm.kiad.'!#REF!</definedName>
    <definedName name="vizikfelh3">'[2]7. felhalm.kiad.'!#REF!</definedName>
    <definedName name="vmk" localSheetId="0">#REF!</definedName>
    <definedName name="vmk" localSheetId="10">#REF!</definedName>
    <definedName name="vmk" localSheetId="11">#REF!</definedName>
    <definedName name="vmk" localSheetId="12">#REF!</definedName>
    <definedName name="vmk" localSheetId="13">#REF!</definedName>
    <definedName name="vmk" localSheetId="14">#REF!</definedName>
    <definedName name="vmk" localSheetId="16">#REF!</definedName>
    <definedName name="vmk">#REF!</definedName>
  </definedNames>
  <calcPr calcId="125725" fullCalcOnLoad="1"/>
</workbook>
</file>

<file path=xl/calcChain.xml><?xml version="1.0" encoding="utf-8"?>
<calcChain xmlns="http://schemas.openxmlformats.org/spreadsheetml/2006/main">
  <c r="H42" i="220"/>
  <c r="H47"/>
  <c r="G47"/>
  <c r="F47"/>
  <c r="D47"/>
  <c r="I46"/>
  <c r="I45"/>
  <c r="E44"/>
  <c r="E47"/>
  <c r="I43"/>
  <c r="I41"/>
  <c r="F40"/>
  <c r="I40"/>
  <c r="E33"/>
  <c r="E36"/>
  <c r="G36"/>
  <c r="F36"/>
  <c r="D36"/>
  <c r="I35"/>
  <c r="I34"/>
  <c r="I32"/>
  <c r="H31"/>
  <c r="H36"/>
  <c r="I30"/>
  <c r="F29"/>
  <c r="I29"/>
  <c r="G25"/>
  <c r="F25"/>
  <c r="E25"/>
  <c r="D25"/>
  <c r="I24"/>
  <c r="I23"/>
  <c r="I22"/>
  <c r="I21"/>
  <c r="H20"/>
  <c r="H25"/>
  <c r="I19"/>
  <c r="F18"/>
  <c r="I18"/>
  <c r="H14"/>
  <c r="G14"/>
  <c r="F14"/>
  <c r="E14"/>
  <c r="D14"/>
  <c r="I13"/>
  <c r="I12"/>
  <c r="I11"/>
  <c r="I10"/>
  <c r="I9"/>
  <c r="I8"/>
  <c r="I7"/>
  <c r="F40" i="212"/>
  <c r="F43" i="214"/>
  <c r="E141" i="212"/>
  <c r="E122"/>
  <c r="E121"/>
  <c r="E120"/>
  <c r="E36"/>
  <c r="E122" i="201"/>
  <c r="E19" i="202"/>
  <c r="E140" i="195"/>
  <c r="E121"/>
  <c r="E9" i="216"/>
  <c r="E7"/>
  <c r="E35" i="195"/>
  <c r="E29" i="217"/>
  <c r="L68"/>
  <c r="E8" i="202"/>
  <c r="E110" i="201"/>
  <c r="E137" i="195"/>
  <c r="E109"/>
  <c r="E109" i="201"/>
  <c r="E106"/>
  <c r="E108" i="195"/>
  <c r="E54" i="205"/>
  <c r="E118" i="195"/>
  <c r="E114"/>
  <c r="E106"/>
  <c r="E10" i="217"/>
  <c r="L67"/>
  <c r="G70"/>
  <c r="L76"/>
  <c r="K80"/>
  <c r="E141" i="201"/>
  <c r="F141"/>
  <c r="E138"/>
  <c r="F138"/>
  <c r="E137"/>
  <c r="E44"/>
  <c r="E42"/>
  <c r="E38"/>
  <c r="E41"/>
  <c r="F41"/>
  <c r="E39"/>
  <c r="E27"/>
  <c r="E9"/>
  <c r="E13"/>
  <c r="E10"/>
  <c r="E7" i="202"/>
  <c r="F7"/>
  <c r="F6"/>
  <c r="E44" i="195"/>
  <c r="E45" i="201"/>
  <c r="F45" s="1"/>
  <c r="E21" i="195"/>
  <c r="E13"/>
  <c r="E14" i="201"/>
  <c r="F14" s="1"/>
  <c r="E10" i="195"/>
  <c r="E11" i="201"/>
  <c r="F11"/>
  <c r="E9" i="195"/>
  <c r="D139" i="212"/>
  <c r="E139"/>
  <c r="F70"/>
  <c r="I13" i="215"/>
  <c r="J13"/>
  <c r="I12"/>
  <c r="J12"/>
  <c r="H13"/>
  <c r="H12"/>
  <c r="I9"/>
  <c r="H9"/>
  <c r="I7"/>
  <c r="I8"/>
  <c r="H7"/>
  <c r="H8"/>
  <c r="I6"/>
  <c r="J6"/>
  <c r="H6"/>
  <c r="E127" i="195"/>
  <c r="J14" i="216"/>
  <c r="I13"/>
  <c r="J13"/>
  <c r="H13"/>
  <c r="I7"/>
  <c r="I8"/>
  <c r="I9"/>
  <c r="I10"/>
  <c r="I11"/>
  <c r="H7"/>
  <c r="H8"/>
  <c r="H9"/>
  <c r="H10"/>
  <c r="H11"/>
  <c r="D17"/>
  <c r="F17" s="1"/>
  <c r="D18"/>
  <c r="C17"/>
  <c r="C18"/>
  <c r="C15"/>
  <c r="D19"/>
  <c r="E19"/>
  <c r="C19"/>
  <c r="D16"/>
  <c r="E16"/>
  <c r="C16"/>
  <c r="D63" i="195"/>
  <c r="D15" i="216"/>
  <c r="E63" i="195"/>
  <c r="E15" i="216"/>
  <c r="C63" i="195"/>
  <c r="D70" i="217"/>
  <c r="D64" i="201"/>
  <c r="E64"/>
  <c r="C64"/>
  <c r="E139"/>
  <c r="E136"/>
  <c r="E53" i="205"/>
  <c r="E63"/>
  <c r="E21"/>
  <c r="E54" i="206"/>
  <c r="E48"/>
  <c r="E45"/>
  <c r="E54" i="207"/>
  <c r="E38"/>
  <c r="E31"/>
  <c r="E54" i="208"/>
  <c r="E54" i="211"/>
  <c r="E64"/>
  <c r="F151" i="212"/>
  <c r="F148"/>
  <c r="F147"/>
  <c r="F163"/>
  <c r="F158"/>
  <c r="F152"/>
  <c r="F143"/>
  <c r="F141"/>
  <c r="F139"/>
  <c r="F138"/>
  <c r="F137"/>
  <c r="F136"/>
  <c r="D128"/>
  <c r="F128"/>
  <c r="E128"/>
  <c r="F132"/>
  <c r="F133"/>
  <c r="F134"/>
  <c r="F131"/>
  <c r="F123"/>
  <c r="F124"/>
  <c r="F125"/>
  <c r="F126"/>
  <c r="F127"/>
  <c r="F122"/>
  <c r="F119"/>
  <c r="F115"/>
  <c r="F112"/>
  <c r="F109"/>
  <c r="F110"/>
  <c r="F108"/>
  <c r="F107"/>
  <c r="E94"/>
  <c r="F94"/>
  <c r="E90"/>
  <c r="F90"/>
  <c r="E76"/>
  <c r="F76"/>
  <c r="E35"/>
  <c r="F88"/>
  <c r="F87"/>
  <c r="F86"/>
  <c r="F85"/>
  <c r="E86"/>
  <c r="E85"/>
  <c r="E100"/>
  <c r="F81"/>
  <c r="E80"/>
  <c r="F80"/>
  <c r="F74"/>
  <c r="F71"/>
  <c r="F67"/>
  <c r="F73"/>
  <c r="E71"/>
  <c r="D62"/>
  <c r="E62"/>
  <c r="E58"/>
  <c r="C62"/>
  <c r="F66"/>
  <c r="F65"/>
  <c r="F64"/>
  <c r="F63"/>
  <c r="F62"/>
  <c r="F61"/>
  <c r="F60"/>
  <c r="F48"/>
  <c r="F49"/>
  <c r="F50"/>
  <c r="F51"/>
  <c r="F52"/>
  <c r="F53"/>
  <c r="F54"/>
  <c r="F55"/>
  <c r="F56"/>
  <c r="F57"/>
  <c r="F47"/>
  <c r="E46"/>
  <c r="F38"/>
  <c r="F39"/>
  <c r="F41"/>
  <c r="F42"/>
  <c r="F43"/>
  <c r="F37"/>
  <c r="F36"/>
  <c r="F35"/>
  <c r="F25"/>
  <c r="F33"/>
  <c r="F34"/>
  <c r="F31"/>
  <c r="F20"/>
  <c r="F21"/>
  <c r="F22"/>
  <c r="F23"/>
  <c r="F19"/>
  <c r="F9"/>
  <c r="F10"/>
  <c r="F11"/>
  <c r="F12"/>
  <c r="F8"/>
  <c r="F7"/>
  <c r="F141" i="213"/>
  <c r="F138"/>
  <c r="F139"/>
  <c r="F136"/>
  <c r="F134"/>
  <c r="F127"/>
  <c r="F122"/>
  <c r="F121"/>
  <c r="F119"/>
  <c r="F115"/>
  <c r="F109"/>
  <c r="F110"/>
  <c r="F108"/>
  <c r="F107"/>
  <c r="E35"/>
  <c r="F35"/>
  <c r="E94"/>
  <c r="F94"/>
  <c r="E90"/>
  <c r="F90"/>
  <c r="E85"/>
  <c r="E100"/>
  <c r="E86"/>
  <c r="F88"/>
  <c r="F87"/>
  <c r="F86"/>
  <c r="F85"/>
  <c r="F100"/>
  <c r="E71"/>
  <c r="F71"/>
  <c r="E67"/>
  <c r="F70"/>
  <c r="F67"/>
  <c r="F66"/>
  <c r="F62"/>
  <c r="F58"/>
  <c r="D62"/>
  <c r="E62"/>
  <c r="E58"/>
  <c r="C62"/>
  <c r="F49"/>
  <c r="F50"/>
  <c r="F51"/>
  <c r="F52"/>
  <c r="F53"/>
  <c r="F54"/>
  <c r="F55"/>
  <c r="F56"/>
  <c r="F57"/>
  <c r="F48"/>
  <c r="F46"/>
  <c r="E46"/>
  <c r="E44"/>
  <c r="E29"/>
  <c r="F29"/>
  <c r="F23"/>
  <c r="F22"/>
  <c r="F21"/>
  <c r="F20"/>
  <c r="F19"/>
  <c r="F12"/>
  <c r="F6"/>
  <c r="F9"/>
  <c r="E18"/>
  <c r="E13"/>
  <c r="E75"/>
  <c r="F119" i="214"/>
  <c r="F120"/>
  <c r="F121"/>
  <c r="F108"/>
  <c r="F107"/>
  <c r="F106"/>
  <c r="E84"/>
  <c r="E99"/>
  <c r="E85"/>
  <c r="F86"/>
  <c r="F85"/>
  <c r="F84"/>
  <c r="F99"/>
  <c r="E35"/>
  <c r="F35"/>
  <c r="F53"/>
  <c r="F55"/>
  <c r="F57"/>
  <c r="F50"/>
  <c r="D46"/>
  <c r="E46"/>
  <c r="E44"/>
  <c r="F46"/>
  <c r="F8"/>
  <c r="F9"/>
  <c r="F10"/>
  <c r="F11"/>
  <c r="F12"/>
  <c r="F7"/>
  <c r="H16" i="216"/>
  <c r="J28" i="215"/>
  <c r="E175" i="195"/>
  <c r="I28" i="215"/>
  <c r="F27"/>
  <c r="D25"/>
  <c r="D24"/>
  <c r="E25"/>
  <c r="C25"/>
  <c r="F21"/>
  <c r="F22"/>
  <c r="E70" i="217"/>
  <c r="L69"/>
  <c r="D23" i="216"/>
  <c r="E23"/>
  <c r="C23"/>
  <c r="D13"/>
  <c r="E13"/>
  <c r="C13"/>
  <c r="D11"/>
  <c r="E11"/>
  <c r="C11"/>
  <c r="D14"/>
  <c r="E14"/>
  <c r="C14"/>
  <c r="E19" i="215"/>
  <c r="E24"/>
  <c r="E28"/>
  <c r="E172" i="195"/>
  <c r="C24" i="215"/>
  <c r="C24" i="207"/>
  <c r="E24"/>
  <c r="E21"/>
  <c r="E48"/>
  <c r="E45"/>
  <c r="J27" i="216"/>
  <c r="K27"/>
  <c r="D9"/>
  <c r="F9"/>
  <c r="D8"/>
  <c r="D7"/>
  <c r="E26"/>
  <c r="E22" s="1"/>
  <c r="F26"/>
  <c r="E128" i="201"/>
  <c r="F26" i="215"/>
  <c r="F24"/>
  <c r="K24"/>
  <c r="K28"/>
  <c r="F175" i="195"/>
  <c r="F48" i="205"/>
  <c r="E48" i="201"/>
  <c r="E82"/>
  <c r="E152"/>
  <c r="F151"/>
  <c r="F140"/>
  <c r="F137"/>
  <c r="F124"/>
  <c r="E111"/>
  <c r="E87"/>
  <c r="K12" i="216"/>
  <c r="J16"/>
  <c r="I16"/>
  <c r="K16"/>
  <c r="K14" i="215"/>
  <c r="F150" i="195"/>
  <c r="F147"/>
  <c r="F140"/>
  <c r="F139"/>
  <c r="F137"/>
  <c r="F136"/>
  <c r="F133"/>
  <c r="F132"/>
  <c r="F131"/>
  <c r="F130"/>
  <c r="F129"/>
  <c r="F127"/>
  <c r="F128"/>
  <c r="F126"/>
  <c r="K13" i="216"/>
  <c r="F125" i="195"/>
  <c r="F124"/>
  <c r="F122"/>
  <c r="F118"/>
  <c r="F117"/>
  <c r="F116"/>
  <c r="F115"/>
  <c r="F114"/>
  <c r="F113"/>
  <c r="F112"/>
  <c r="F111"/>
  <c r="F109"/>
  <c r="F108"/>
  <c r="F107"/>
  <c r="F106"/>
  <c r="F74"/>
  <c r="F26"/>
  <c r="F89"/>
  <c r="F23" i="216"/>
  <c r="F88" i="195"/>
  <c r="F82"/>
  <c r="F81"/>
  <c r="F75"/>
  <c r="F72"/>
  <c r="F10" i="216"/>
  <c r="F71" i="195"/>
  <c r="F66"/>
  <c r="F65"/>
  <c r="F64"/>
  <c r="F62"/>
  <c r="F61"/>
  <c r="F14" i="216"/>
  <c r="F58" i="195"/>
  <c r="F57"/>
  <c r="F56"/>
  <c r="F55"/>
  <c r="F54"/>
  <c r="F53"/>
  <c r="F52"/>
  <c r="F51"/>
  <c r="F50"/>
  <c r="F49"/>
  <c r="F48"/>
  <c r="F44"/>
  <c r="F43"/>
  <c r="F42"/>
  <c r="F41"/>
  <c r="F40"/>
  <c r="F39"/>
  <c r="F11" i="216"/>
  <c r="F38" i="195"/>
  <c r="F13" i="216"/>
  <c r="F35" i="195"/>
  <c r="F34"/>
  <c r="F33"/>
  <c r="F32"/>
  <c r="F24"/>
  <c r="F22"/>
  <c r="F21"/>
  <c r="F20"/>
  <c r="F11"/>
  <c r="F9"/>
  <c r="E69" i="201"/>
  <c r="E73"/>
  <c r="E31"/>
  <c r="E26"/>
  <c r="E20"/>
  <c r="E15"/>
  <c r="F10"/>
  <c r="J11" i="216"/>
  <c r="K11" s="1"/>
  <c r="J10"/>
  <c r="J8"/>
  <c r="K8" s="1"/>
  <c r="F12"/>
  <c r="F20"/>
  <c r="E18"/>
  <c r="F18" s="1"/>
  <c r="E17"/>
  <c r="F19"/>
  <c r="E8"/>
  <c r="F8" s="1"/>
  <c r="J9" i="215"/>
  <c r="J8"/>
  <c r="J7"/>
  <c r="E8"/>
  <c r="F12" i="195"/>
  <c r="F13" i="201"/>
  <c r="F8" i="195"/>
  <c r="F123"/>
  <c r="J9" i="216"/>
  <c r="D37" i="219"/>
  <c r="E37"/>
  <c r="F35"/>
  <c r="F34"/>
  <c r="F33"/>
  <c r="F32"/>
  <c r="F31"/>
  <c r="F30"/>
  <c r="F29"/>
  <c r="C29"/>
  <c r="C37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K84" i="217"/>
  <c r="J84"/>
  <c r="I84"/>
  <c r="H84"/>
  <c r="G84"/>
  <c r="F84"/>
  <c r="E84"/>
  <c r="D84"/>
  <c r="C84"/>
  <c r="L83"/>
  <c r="L82"/>
  <c r="L81"/>
  <c r="L80"/>
  <c r="L79"/>
  <c r="L84"/>
  <c r="K78"/>
  <c r="J78"/>
  <c r="I78"/>
  <c r="H78"/>
  <c r="G78"/>
  <c r="F78"/>
  <c r="E78"/>
  <c r="D78"/>
  <c r="C78"/>
  <c r="L77"/>
  <c r="L75"/>
  <c r="L74"/>
  <c r="L73"/>
  <c r="L72"/>
  <c r="L71"/>
  <c r="K70"/>
  <c r="K85"/>
  <c r="J70"/>
  <c r="J85"/>
  <c r="I70"/>
  <c r="H70"/>
  <c r="H85"/>
  <c r="F70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C39"/>
  <c r="C70"/>
  <c r="C85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F67" i="210"/>
  <c r="F66"/>
  <c r="F55"/>
  <c r="F56"/>
  <c r="F57"/>
  <c r="F58"/>
  <c r="F59"/>
  <c r="F61"/>
  <c r="F62"/>
  <c r="F63"/>
  <c r="F9"/>
  <c r="F11"/>
  <c r="F12"/>
  <c r="F13"/>
  <c r="F14"/>
  <c r="F15"/>
  <c r="F16"/>
  <c r="F17"/>
  <c r="F18"/>
  <c r="F19"/>
  <c r="F20"/>
  <c r="F21"/>
  <c r="F23"/>
  <c r="F24"/>
  <c r="F26"/>
  <c r="F27"/>
  <c r="F28"/>
  <c r="F29"/>
  <c r="F30"/>
  <c r="F32"/>
  <c r="F34"/>
  <c r="F35"/>
  <c r="F36"/>
  <c r="F37"/>
  <c r="F39"/>
  <c r="F40"/>
  <c r="F41"/>
  <c r="F42"/>
  <c r="F43"/>
  <c r="F46"/>
  <c r="F47"/>
  <c r="F49"/>
  <c r="F50"/>
  <c r="F67" i="211"/>
  <c r="F66"/>
  <c r="F55"/>
  <c r="F56"/>
  <c r="F57"/>
  <c r="F58"/>
  <c r="F59"/>
  <c r="F61"/>
  <c r="F62"/>
  <c r="F63"/>
  <c r="F9"/>
  <c r="F11"/>
  <c r="F12"/>
  <c r="F13"/>
  <c r="F14"/>
  <c r="F15"/>
  <c r="F16"/>
  <c r="F17"/>
  <c r="F18"/>
  <c r="F19"/>
  <c r="F20"/>
  <c r="F21"/>
  <c r="F23"/>
  <c r="F24"/>
  <c r="F26"/>
  <c r="F27"/>
  <c r="F28"/>
  <c r="F29"/>
  <c r="F30"/>
  <c r="F32"/>
  <c r="F34"/>
  <c r="F35"/>
  <c r="F36"/>
  <c r="F37"/>
  <c r="F39"/>
  <c r="F40"/>
  <c r="F41"/>
  <c r="F42"/>
  <c r="F43"/>
  <c r="F46"/>
  <c r="F47"/>
  <c r="F49"/>
  <c r="F50"/>
  <c r="F67" i="208"/>
  <c r="F66"/>
  <c r="F9"/>
  <c r="F11"/>
  <c r="F12"/>
  <c r="F13"/>
  <c r="F14"/>
  <c r="F15"/>
  <c r="F16"/>
  <c r="F17"/>
  <c r="F18"/>
  <c r="F19"/>
  <c r="F20"/>
  <c r="F21"/>
  <c r="F23"/>
  <c r="F24"/>
  <c r="F26"/>
  <c r="F27"/>
  <c r="F28"/>
  <c r="F29"/>
  <c r="F30"/>
  <c r="F32"/>
  <c r="F34"/>
  <c r="F35"/>
  <c r="F36"/>
  <c r="F37"/>
  <c r="F39"/>
  <c r="F40"/>
  <c r="F41"/>
  <c r="F42"/>
  <c r="F43"/>
  <c r="F46"/>
  <c r="F47"/>
  <c r="F49"/>
  <c r="F50"/>
  <c r="F55"/>
  <c r="F56"/>
  <c r="F57"/>
  <c r="F58"/>
  <c r="F59"/>
  <c r="F61"/>
  <c r="F62"/>
  <c r="F63"/>
  <c r="F167" i="201"/>
  <c r="F166"/>
  <c r="F12"/>
  <c r="F16"/>
  <c r="F17"/>
  <c r="F18"/>
  <c r="F19"/>
  <c r="F21"/>
  <c r="F22"/>
  <c r="F23"/>
  <c r="F24"/>
  <c r="F25"/>
  <c r="F27"/>
  <c r="F28"/>
  <c r="F29"/>
  <c r="F30"/>
  <c r="F32"/>
  <c r="F33"/>
  <c r="F34"/>
  <c r="F35"/>
  <c r="F36"/>
  <c r="F39"/>
  <c r="F40"/>
  <c r="F42"/>
  <c r="F43"/>
  <c r="F44"/>
  <c r="F47"/>
  <c r="F49"/>
  <c r="F50"/>
  <c r="F51"/>
  <c r="F52"/>
  <c r="F53"/>
  <c r="F54"/>
  <c r="F55"/>
  <c r="F56"/>
  <c r="F57"/>
  <c r="F58"/>
  <c r="F59"/>
  <c r="F61"/>
  <c r="F62"/>
  <c r="F63"/>
  <c r="F65"/>
  <c r="F66"/>
  <c r="F67"/>
  <c r="F70"/>
  <c r="F71"/>
  <c r="F72"/>
  <c r="F74"/>
  <c r="F75"/>
  <c r="F76"/>
  <c r="F79"/>
  <c r="F80"/>
  <c r="F81"/>
  <c r="F89"/>
  <c r="F90"/>
  <c r="F91"/>
  <c r="F93"/>
  <c r="F94"/>
  <c r="F95"/>
  <c r="F97"/>
  <c r="F98"/>
  <c r="F99"/>
  <c r="F100"/>
  <c r="F101"/>
  <c r="F104"/>
  <c r="F107"/>
  <c r="F108"/>
  <c r="F109"/>
  <c r="F110"/>
  <c r="F112"/>
  <c r="F113"/>
  <c r="F114"/>
  <c r="F115"/>
  <c r="F116"/>
  <c r="F117"/>
  <c r="F118"/>
  <c r="F119"/>
  <c r="F123"/>
  <c r="F125"/>
  <c r="F126"/>
  <c r="F127"/>
  <c r="F129"/>
  <c r="F130"/>
  <c r="F131"/>
  <c r="F132"/>
  <c r="F133"/>
  <c r="F134"/>
  <c r="F145"/>
  <c r="F146"/>
  <c r="F153"/>
  <c r="F154"/>
  <c r="F155"/>
  <c r="F156"/>
  <c r="F157"/>
  <c r="F159"/>
  <c r="F160"/>
  <c r="F161"/>
  <c r="F162"/>
  <c r="F66" i="205"/>
  <c r="F65"/>
  <c r="F54"/>
  <c r="F55"/>
  <c r="F56"/>
  <c r="F57"/>
  <c r="F58"/>
  <c r="F60"/>
  <c r="F61"/>
  <c r="F62"/>
  <c r="F8"/>
  <c r="F10"/>
  <c r="F11"/>
  <c r="F12"/>
  <c r="F13"/>
  <c r="F14"/>
  <c r="F15"/>
  <c r="F16"/>
  <c r="F17"/>
  <c r="F18"/>
  <c r="F19"/>
  <c r="F20"/>
  <c r="F22"/>
  <c r="F23"/>
  <c r="F25"/>
  <c r="F26"/>
  <c r="F27"/>
  <c r="F28"/>
  <c r="F29"/>
  <c r="F31"/>
  <c r="F33"/>
  <c r="F34"/>
  <c r="F35"/>
  <c r="F36"/>
  <c r="F38"/>
  <c r="F39"/>
  <c r="F40"/>
  <c r="F41"/>
  <c r="F42"/>
  <c r="F45"/>
  <c r="F46"/>
  <c r="F49"/>
  <c r="F67" i="206"/>
  <c r="F66"/>
  <c r="F55"/>
  <c r="F56"/>
  <c r="F57"/>
  <c r="F58"/>
  <c r="F59"/>
  <c r="F61"/>
  <c r="F62"/>
  <c r="F63"/>
  <c r="F9"/>
  <c r="F11"/>
  <c r="F12"/>
  <c r="F13"/>
  <c r="F14"/>
  <c r="F15"/>
  <c r="F16"/>
  <c r="F17"/>
  <c r="F18"/>
  <c r="F19"/>
  <c r="F20"/>
  <c r="F21"/>
  <c r="F23"/>
  <c r="F24"/>
  <c r="F26"/>
  <c r="F27"/>
  <c r="F28"/>
  <c r="F29"/>
  <c r="F30"/>
  <c r="F32"/>
  <c r="F34"/>
  <c r="F35"/>
  <c r="F36"/>
  <c r="F37"/>
  <c r="F39"/>
  <c r="F40"/>
  <c r="F41"/>
  <c r="F42"/>
  <c r="F43"/>
  <c r="F46"/>
  <c r="F47"/>
  <c r="F49"/>
  <c r="F50"/>
  <c r="F67" i="207"/>
  <c r="F66"/>
  <c r="F55"/>
  <c r="F56"/>
  <c r="F57"/>
  <c r="F58"/>
  <c r="F59"/>
  <c r="F61"/>
  <c r="F62"/>
  <c r="F63"/>
  <c r="F10"/>
  <c r="F11"/>
  <c r="F12"/>
  <c r="F13"/>
  <c r="F14"/>
  <c r="F15"/>
  <c r="F16"/>
  <c r="F17"/>
  <c r="F18"/>
  <c r="F19"/>
  <c r="F20"/>
  <c r="F22"/>
  <c r="F23"/>
  <c r="F25"/>
  <c r="F26"/>
  <c r="F27"/>
  <c r="F28"/>
  <c r="F29"/>
  <c r="F33"/>
  <c r="F34"/>
  <c r="F35"/>
  <c r="F36"/>
  <c r="F39"/>
  <c r="F40"/>
  <c r="F41"/>
  <c r="F42"/>
  <c r="F46"/>
  <c r="F47"/>
  <c r="F49"/>
  <c r="F50"/>
  <c r="F48"/>
  <c r="F8"/>
  <c r="E157" i="214"/>
  <c r="E151"/>
  <c r="E162"/>
  <c r="E146"/>
  <c r="E142"/>
  <c r="E138"/>
  <c r="E134"/>
  <c r="E135"/>
  <c r="E127"/>
  <c r="E120"/>
  <c r="E110"/>
  <c r="E105"/>
  <c r="E141"/>
  <c r="E163"/>
  <c r="F6"/>
  <c r="E6"/>
  <c r="E158" i="213"/>
  <c r="E163"/>
  <c r="E152"/>
  <c r="E147"/>
  <c r="E143"/>
  <c r="E139"/>
  <c r="E136"/>
  <c r="E128"/>
  <c r="E121"/>
  <c r="E111"/>
  <c r="E106"/>
  <c r="F24"/>
  <c r="E24"/>
  <c r="E6"/>
  <c r="E44" i="212"/>
  <c r="E67"/>
  <c r="E29"/>
  <c r="E24"/>
  <c r="E18"/>
  <c r="E13"/>
  <c r="E75"/>
  <c r="E101"/>
  <c r="E6"/>
  <c r="E37" i="205"/>
  <c r="E32"/>
  <c r="E9"/>
  <c r="E7"/>
  <c r="E43"/>
  <c r="E50"/>
  <c r="E59"/>
  <c r="E38" i="206"/>
  <c r="E33"/>
  <c r="E31"/>
  <c r="E60"/>
  <c r="E37" i="207"/>
  <c r="F37"/>
  <c r="E32"/>
  <c r="F32"/>
  <c r="E9"/>
  <c r="E60"/>
  <c r="E48" i="208"/>
  <c r="E38"/>
  <c r="E33"/>
  <c r="E31"/>
  <c r="E44"/>
  <c r="E51"/>
  <c r="E25"/>
  <c r="E22"/>
  <c r="E8"/>
  <c r="E60"/>
  <c r="E64"/>
  <c r="E48" i="211"/>
  <c r="E38"/>
  <c r="E33"/>
  <c r="E25"/>
  <c r="E22"/>
  <c r="E8"/>
  <c r="D127" i="195"/>
  <c r="I14" i="216"/>
  <c r="F95" i="195"/>
  <c r="F91"/>
  <c r="F77"/>
  <c r="H34" i="216"/>
  <c r="C176" i="195"/>
  <c r="C28" i="216"/>
  <c r="D22"/>
  <c r="F22" s="1"/>
  <c r="C22"/>
  <c r="C34" s="1"/>
  <c r="I22"/>
  <c r="K22"/>
  <c r="K34"/>
  <c r="F176" i="195" s="1"/>
  <c r="F16" i="216"/>
  <c r="H15"/>
  <c r="C12"/>
  <c r="K10"/>
  <c r="K9"/>
  <c r="C9"/>
  <c r="C8"/>
  <c r="F7"/>
  <c r="C6"/>
  <c r="J30" i="215"/>
  <c r="I30"/>
  <c r="H30"/>
  <c r="D175" i="195"/>
  <c r="H28" i="215"/>
  <c r="C175" i="195"/>
  <c r="D20" i="215"/>
  <c r="D19"/>
  <c r="D28"/>
  <c r="D172" i="195"/>
  <c r="C20" i="215"/>
  <c r="C19"/>
  <c r="C28"/>
  <c r="C172" i="195"/>
  <c r="K12" i="215"/>
  <c r="C12"/>
  <c r="C10"/>
  <c r="K9"/>
  <c r="C9"/>
  <c r="D8"/>
  <c r="F8" s="1"/>
  <c r="C8"/>
  <c r="K7"/>
  <c r="C7"/>
  <c r="K6"/>
  <c r="C6"/>
  <c r="D157" i="214"/>
  <c r="C157"/>
  <c r="D151"/>
  <c r="C151"/>
  <c r="D146"/>
  <c r="C146"/>
  <c r="D142"/>
  <c r="D162"/>
  <c r="C142"/>
  <c r="C138"/>
  <c r="C135"/>
  <c r="C134"/>
  <c r="D134"/>
  <c r="D127"/>
  <c r="C127"/>
  <c r="D120"/>
  <c r="D119"/>
  <c r="C120"/>
  <c r="D110"/>
  <c r="D105"/>
  <c r="C110"/>
  <c r="C105"/>
  <c r="D93"/>
  <c r="C93"/>
  <c r="D89"/>
  <c r="C89"/>
  <c r="D85"/>
  <c r="D84"/>
  <c r="D99"/>
  <c r="C85"/>
  <c r="C84"/>
  <c r="D79"/>
  <c r="C79"/>
  <c r="C99"/>
  <c r="D75"/>
  <c r="C75"/>
  <c r="D70"/>
  <c r="C70"/>
  <c r="D66"/>
  <c r="C66"/>
  <c r="D62"/>
  <c r="D58"/>
  <c r="C62"/>
  <c r="C58"/>
  <c r="D44"/>
  <c r="C46"/>
  <c r="C44"/>
  <c r="D36"/>
  <c r="D35"/>
  <c r="C36"/>
  <c r="C35"/>
  <c r="D29"/>
  <c r="D24"/>
  <c r="C29"/>
  <c r="C24"/>
  <c r="D18"/>
  <c r="D13"/>
  <c r="C18"/>
  <c r="C13"/>
  <c r="D6"/>
  <c r="C6"/>
  <c r="D158" i="213"/>
  <c r="C158"/>
  <c r="D152"/>
  <c r="C152"/>
  <c r="D147"/>
  <c r="C147"/>
  <c r="D143"/>
  <c r="C143"/>
  <c r="C163"/>
  <c r="D139"/>
  <c r="C139"/>
  <c r="D136"/>
  <c r="D135"/>
  <c r="C136"/>
  <c r="C135"/>
  <c r="D128"/>
  <c r="F128"/>
  <c r="F120"/>
  <c r="C128"/>
  <c r="C120"/>
  <c r="D121"/>
  <c r="D120"/>
  <c r="D142"/>
  <c r="D111"/>
  <c r="D106"/>
  <c r="C111"/>
  <c r="C106"/>
  <c r="C142"/>
  <c r="C164"/>
  <c r="D94"/>
  <c r="C94"/>
  <c r="D90"/>
  <c r="C90"/>
  <c r="D86"/>
  <c r="C86"/>
  <c r="C85"/>
  <c r="D85"/>
  <c r="D80"/>
  <c r="C80"/>
  <c r="D76"/>
  <c r="D100"/>
  <c r="C76"/>
  <c r="C100"/>
  <c r="D71"/>
  <c r="C71"/>
  <c r="D67"/>
  <c r="C67"/>
  <c r="D58"/>
  <c r="C58"/>
  <c r="D46"/>
  <c r="C46"/>
  <c r="C44"/>
  <c r="D44"/>
  <c r="D35"/>
  <c r="C35"/>
  <c r="D29"/>
  <c r="D24"/>
  <c r="C29"/>
  <c r="C24"/>
  <c r="D18"/>
  <c r="D13"/>
  <c r="C18"/>
  <c r="C13"/>
  <c r="C75"/>
  <c r="C168"/>
  <c r="D6"/>
  <c r="C6"/>
  <c r="E158" i="212"/>
  <c r="D158"/>
  <c r="C158"/>
  <c r="E152"/>
  <c r="D152"/>
  <c r="C152"/>
  <c r="E147"/>
  <c r="D147"/>
  <c r="C147"/>
  <c r="E143"/>
  <c r="E163"/>
  <c r="D143"/>
  <c r="C143"/>
  <c r="C139"/>
  <c r="E136"/>
  <c r="D136"/>
  <c r="D135"/>
  <c r="C136"/>
  <c r="C135"/>
  <c r="C128"/>
  <c r="D121"/>
  <c r="D120"/>
  <c r="C121"/>
  <c r="C120"/>
  <c r="E111"/>
  <c r="E106"/>
  <c r="D111"/>
  <c r="D106"/>
  <c r="D142"/>
  <c r="C111"/>
  <c r="C106"/>
  <c r="C142"/>
  <c r="D94"/>
  <c r="C94"/>
  <c r="D90"/>
  <c r="C90"/>
  <c r="D86"/>
  <c r="D85"/>
  <c r="D100"/>
  <c r="C86"/>
  <c r="C85"/>
  <c r="D80"/>
  <c r="C80"/>
  <c r="D76"/>
  <c r="C76"/>
  <c r="D71"/>
  <c r="C71"/>
  <c r="D67"/>
  <c r="C67"/>
  <c r="D58"/>
  <c r="C58"/>
  <c r="D46"/>
  <c r="D44"/>
  <c r="C46"/>
  <c r="C44"/>
  <c r="D36"/>
  <c r="D35"/>
  <c r="C36"/>
  <c r="C35"/>
  <c r="D29"/>
  <c r="D24"/>
  <c r="C29"/>
  <c r="C24"/>
  <c r="D18"/>
  <c r="D13"/>
  <c r="C18"/>
  <c r="C13"/>
  <c r="D6"/>
  <c r="C6"/>
  <c r="E37" i="195"/>
  <c r="D24" i="207"/>
  <c r="D60" i="211"/>
  <c r="F60"/>
  <c r="C60"/>
  <c r="D54"/>
  <c r="F54"/>
  <c r="C54"/>
  <c r="C64"/>
  <c r="C50"/>
  <c r="C49"/>
  <c r="C48"/>
  <c r="C45"/>
  <c r="D48"/>
  <c r="D38"/>
  <c r="C38"/>
  <c r="D33"/>
  <c r="C33"/>
  <c r="C31"/>
  <c r="D25"/>
  <c r="F25"/>
  <c r="D22"/>
  <c r="F22"/>
  <c r="C25"/>
  <c r="C22"/>
  <c r="D10"/>
  <c r="C10"/>
  <c r="C8"/>
  <c r="E60" i="210"/>
  <c r="D60"/>
  <c r="C60"/>
  <c r="E54"/>
  <c r="E64"/>
  <c r="F64"/>
  <c r="D54"/>
  <c r="C54"/>
  <c r="C64"/>
  <c r="D48"/>
  <c r="C48"/>
  <c r="C45"/>
  <c r="E38"/>
  <c r="D38"/>
  <c r="C38"/>
  <c r="C44"/>
  <c r="C51"/>
  <c r="E33"/>
  <c r="E31"/>
  <c r="D33"/>
  <c r="C33"/>
  <c r="C31"/>
  <c r="D31"/>
  <c r="E25"/>
  <c r="E22"/>
  <c r="D25"/>
  <c r="C25"/>
  <c r="C22"/>
  <c r="E10"/>
  <c r="E8"/>
  <c r="E44"/>
  <c r="E51"/>
  <c r="D10"/>
  <c r="C10"/>
  <c r="C8"/>
  <c r="C10" i="208"/>
  <c r="C8"/>
  <c r="C44"/>
  <c r="C51"/>
  <c r="D10"/>
  <c r="F10"/>
  <c r="C25"/>
  <c r="C22"/>
  <c r="D25"/>
  <c r="D22"/>
  <c r="F22"/>
  <c r="C33"/>
  <c r="C31"/>
  <c r="D33"/>
  <c r="C38"/>
  <c r="D38"/>
  <c r="F38"/>
  <c r="D48"/>
  <c r="C49"/>
  <c r="C48"/>
  <c r="C45"/>
  <c r="C50"/>
  <c r="C54"/>
  <c r="D54"/>
  <c r="F54"/>
  <c r="C60"/>
  <c r="C64"/>
  <c r="D60"/>
  <c r="D60" i="207"/>
  <c r="C60"/>
  <c r="D54"/>
  <c r="F54"/>
  <c r="C54"/>
  <c r="C64"/>
  <c r="D48"/>
  <c r="D45"/>
  <c r="F45"/>
  <c r="C48"/>
  <c r="C45"/>
  <c r="D38"/>
  <c r="F38"/>
  <c r="C38"/>
  <c r="C33"/>
  <c r="C31"/>
  <c r="D31"/>
  <c r="F31"/>
  <c r="D21"/>
  <c r="F21"/>
  <c r="C21"/>
  <c r="C44"/>
  <c r="C51"/>
  <c r="D9"/>
  <c r="C9"/>
  <c r="C7"/>
  <c r="D60" i="206"/>
  <c r="C60"/>
  <c r="D54"/>
  <c r="C54"/>
  <c r="C64"/>
  <c r="C50"/>
  <c r="C49"/>
  <c r="C48"/>
  <c r="C45"/>
  <c r="D48"/>
  <c r="D38"/>
  <c r="F38"/>
  <c r="C38"/>
  <c r="D33"/>
  <c r="F33"/>
  <c r="C33"/>
  <c r="C31"/>
  <c r="C44"/>
  <c r="C51"/>
  <c r="D25"/>
  <c r="F25"/>
  <c r="C25"/>
  <c r="C22"/>
  <c r="D10"/>
  <c r="F10"/>
  <c r="C10"/>
  <c r="C8"/>
  <c r="D8"/>
  <c r="D59" i="205"/>
  <c r="F59"/>
  <c r="C59"/>
  <c r="D53"/>
  <c r="C53"/>
  <c r="C49"/>
  <c r="C47"/>
  <c r="C44"/>
  <c r="D47"/>
  <c r="D44"/>
  <c r="D37"/>
  <c r="F37"/>
  <c r="C37"/>
  <c r="D32"/>
  <c r="C32"/>
  <c r="C30"/>
  <c r="C43"/>
  <c r="D24"/>
  <c r="D21"/>
  <c r="F21"/>
  <c r="C24"/>
  <c r="C21"/>
  <c r="D9"/>
  <c r="F9"/>
  <c r="C9"/>
  <c r="C7"/>
  <c r="F28" i="202"/>
  <c r="F27"/>
  <c r="D120" i="195"/>
  <c r="I6" i="216"/>
  <c r="D37" i="195"/>
  <c r="D38" i="201"/>
  <c r="D37"/>
  <c r="F38"/>
  <c r="F20" i="202"/>
  <c r="F21"/>
  <c r="F23"/>
  <c r="F24"/>
  <c r="F25"/>
  <c r="F26"/>
  <c r="F19"/>
  <c r="F18"/>
  <c r="F9"/>
  <c r="F10"/>
  <c r="F11"/>
  <c r="F12"/>
  <c r="F13"/>
  <c r="F14"/>
  <c r="F15"/>
  <c r="F16"/>
  <c r="F8"/>
  <c r="D17"/>
  <c r="E17"/>
  <c r="C17"/>
  <c r="E6"/>
  <c r="E29"/>
  <c r="D6"/>
  <c r="D29"/>
  <c r="C6"/>
  <c r="C29"/>
  <c r="D158" i="201"/>
  <c r="F158"/>
  <c r="C158"/>
  <c r="C155"/>
  <c r="C152"/>
  <c r="D152"/>
  <c r="F152"/>
  <c r="D147"/>
  <c r="C147"/>
  <c r="C163"/>
  <c r="D143"/>
  <c r="F143"/>
  <c r="C143"/>
  <c r="C141"/>
  <c r="C139"/>
  <c r="D139"/>
  <c r="C138"/>
  <c r="C136"/>
  <c r="C135"/>
  <c r="D136"/>
  <c r="D128"/>
  <c r="C128"/>
  <c r="C124"/>
  <c r="C123"/>
  <c r="D121"/>
  <c r="D120"/>
  <c r="D111"/>
  <c r="F111"/>
  <c r="C111"/>
  <c r="C109"/>
  <c r="C106"/>
  <c r="C108"/>
  <c r="C107"/>
  <c r="E96"/>
  <c r="E102"/>
  <c r="F96"/>
  <c r="D96"/>
  <c r="C96"/>
  <c r="D92"/>
  <c r="F92"/>
  <c r="C92"/>
  <c r="D88"/>
  <c r="D87"/>
  <c r="F88"/>
  <c r="F87"/>
  <c r="C88"/>
  <c r="C87"/>
  <c r="D82"/>
  <c r="F82"/>
  <c r="C82"/>
  <c r="D78"/>
  <c r="F78"/>
  <c r="C78"/>
  <c r="D73"/>
  <c r="F73"/>
  <c r="C73"/>
  <c r="D69"/>
  <c r="F69"/>
  <c r="C69"/>
  <c r="D60"/>
  <c r="C60"/>
  <c r="D48"/>
  <c r="F48"/>
  <c r="C48"/>
  <c r="C46"/>
  <c r="C38"/>
  <c r="C37"/>
  <c r="D31"/>
  <c r="D26"/>
  <c r="F26"/>
  <c r="C31"/>
  <c r="C26"/>
  <c r="D20"/>
  <c r="D15"/>
  <c r="C20"/>
  <c r="C15"/>
  <c r="C11"/>
  <c r="C8"/>
  <c r="C77"/>
  <c r="C103"/>
  <c r="D8"/>
  <c r="E156" i="195"/>
  <c r="D156"/>
  <c r="C156"/>
  <c r="C161"/>
  <c r="E151"/>
  <c r="D151"/>
  <c r="C151"/>
  <c r="E146"/>
  <c r="E161"/>
  <c r="D146"/>
  <c r="C146"/>
  <c r="E142"/>
  <c r="D142"/>
  <c r="D161"/>
  <c r="F161"/>
  <c r="C142"/>
  <c r="E138"/>
  <c r="J17" i="216"/>
  <c r="F138" i="195"/>
  <c r="K17" i="216"/>
  <c r="F139" i="201"/>
  <c r="D138" i="195"/>
  <c r="I17" i="216"/>
  <c r="C138" i="195"/>
  <c r="H17" i="216"/>
  <c r="E135" i="195"/>
  <c r="F135"/>
  <c r="F134"/>
  <c r="E135" i="201"/>
  <c r="D135" i="195"/>
  <c r="I11" i="215"/>
  <c r="C135" i="195"/>
  <c r="H11" i="215"/>
  <c r="C127" i="195"/>
  <c r="H14" i="216"/>
  <c r="C120" i="195"/>
  <c r="E110"/>
  <c r="J10" i="215"/>
  <c r="E105" i="195"/>
  <c r="D110"/>
  <c r="I10" i="215"/>
  <c r="C110" i="195"/>
  <c r="H10" i="215"/>
  <c r="E95" i="195"/>
  <c r="D95"/>
  <c r="C95"/>
  <c r="E91"/>
  <c r="D91"/>
  <c r="C91"/>
  <c r="E87"/>
  <c r="E86"/>
  <c r="D87"/>
  <c r="F87"/>
  <c r="F86"/>
  <c r="D86"/>
  <c r="C87"/>
  <c r="C86"/>
  <c r="C101"/>
  <c r="C171"/>
  <c r="E81"/>
  <c r="D81"/>
  <c r="C81"/>
  <c r="E77"/>
  <c r="D77"/>
  <c r="C77"/>
  <c r="E72"/>
  <c r="E10" i="216"/>
  <c r="D72" i="195"/>
  <c r="D10" i="216"/>
  <c r="C72" i="195"/>
  <c r="C10" i="216"/>
  <c r="E68" i="195"/>
  <c r="F68"/>
  <c r="E10" i="215"/>
  <c r="D68" i="195"/>
  <c r="D10" i="215"/>
  <c r="F10" s="1"/>
  <c r="C68" i="195"/>
  <c r="D59"/>
  <c r="F59"/>
  <c r="C59"/>
  <c r="E47"/>
  <c r="E45"/>
  <c r="E11" i="215"/>
  <c r="D47" i="195"/>
  <c r="C47"/>
  <c r="C45"/>
  <c r="C11" i="215"/>
  <c r="C37" i="195"/>
  <c r="C36"/>
  <c r="E30"/>
  <c r="E25"/>
  <c r="E6" i="216"/>
  <c r="D30" i="195"/>
  <c r="D25"/>
  <c r="D6" i="216"/>
  <c r="D21"/>
  <c r="C30" i="195"/>
  <c r="C25"/>
  <c r="D19"/>
  <c r="D14"/>
  <c r="C19"/>
  <c r="C14"/>
  <c r="D7"/>
  <c r="C7"/>
  <c r="D135" i="201"/>
  <c r="F135"/>
  <c r="F22" i="202"/>
  <c r="E45" i="211"/>
  <c r="E45" i="208"/>
  <c r="E8" i="206"/>
  <c r="F43" i="207"/>
  <c r="F36" i="219"/>
  <c r="F9" i="201"/>
  <c r="F85" i="217"/>
  <c r="G85"/>
  <c r="D85"/>
  <c r="F48" i="211"/>
  <c r="D45"/>
  <c r="D64"/>
  <c r="E174" i="195"/>
  <c r="D31" i="206"/>
  <c r="F31"/>
  <c r="D64" i="210"/>
  <c r="F33" i="208"/>
  <c r="D31"/>
  <c r="F48" i="206"/>
  <c r="D45"/>
  <c r="F45"/>
  <c r="D64" i="208"/>
  <c r="F64"/>
  <c r="E121" i="201"/>
  <c r="J7" i="216"/>
  <c r="K7" s="1"/>
  <c r="F13" i="195"/>
  <c r="F23"/>
  <c r="F19"/>
  <c r="F14"/>
  <c r="E19"/>
  <c r="E14"/>
  <c r="E7" i="215"/>
  <c r="F148" i="201"/>
  <c r="E147"/>
  <c r="F147"/>
  <c r="E163"/>
  <c r="F174" i="195"/>
  <c r="F25" i="208"/>
  <c r="F31" i="201"/>
  <c r="D106"/>
  <c r="F136"/>
  <c r="D36" i="195"/>
  <c r="D76"/>
  <c r="D8" i="208"/>
  <c r="F33" i="210"/>
  <c r="F67" i="195"/>
  <c r="F63"/>
  <c r="D45"/>
  <c r="D11" i="215"/>
  <c r="F11" s="1"/>
  <c r="J15" i="216"/>
  <c r="D7" i="205"/>
  <c r="F7"/>
  <c r="F47"/>
  <c r="F44"/>
  <c r="F48" i="208"/>
  <c r="D45"/>
  <c r="F45"/>
  <c r="D22" i="210"/>
  <c r="F38"/>
  <c r="E30" i="207"/>
  <c r="F30"/>
  <c r="F38" i="211"/>
  <c r="D18" i="215"/>
  <c r="E85" i="217"/>
  <c r="L39"/>
  <c r="E119" i="214"/>
  <c r="D174" i="195"/>
  <c r="F122" i="201"/>
  <c r="E31" i="211"/>
  <c r="E44"/>
  <c r="F10" i="195"/>
  <c r="F7"/>
  <c r="D163" i="201"/>
  <c r="D8" i="211"/>
  <c r="F10"/>
  <c r="E30" i="205"/>
  <c r="F37" i="219"/>
  <c r="F121" i="195"/>
  <c r="E120"/>
  <c r="J6" i="216"/>
  <c r="J21"/>
  <c r="J35" s="1"/>
  <c r="E46" i="201"/>
  <c r="E7" i="195"/>
  <c r="D7" i="207"/>
  <c r="D44"/>
  <c r="D105" i="195"/>
  <c r="C174"/>
  <c r="C170" s="1"/>
  <c r="D141" i="214"/>
  <c r="D163"/>
  <c r="D119" i="195"/>
  <c r="D63" i="205"/>
  <c r="F63"/>
  <c r="E101" i="195"/>
  <c r="E171"/>
  <c r="E170"/>
  <c r="F68" i="201"/>
  <c r="F64"/>
  <c r="F31" i="208"/>
  <c r="D134" i="195"/>
  <c r="C102" i="201"/>
  <c r="F128"/>
  <c r="F54" i="210"/>
  <c r="E64" i="207"/>
  <c r="C63" i="205"/>
  <c r="F24" i="207"/>
  <c r="I85" i="217"/>
  <c r="F60" i="208"/>
  <c r="J34" i="216"/>
  <c r="E176" i="195" s="1"/>
  <c r="F83" i="201"/>
  <c r="E6" i="215"/>
  <c r="F6"/>
  <c r="E51" i="211"/>
  <c r="D141" i="195"/>
  <c r="D162"/>
  <c r="E59"/>
  <c r="E135" i="212"/>
  <c r="F121"/>
  <c r="F120"/>
  <c r="F111"/>
  <c r="F106"/>
  <c r="F18" i="213"/>
  <c r="F13"/>
  <c r="K8" i="215"/>
  <c r="F20"/>
  <c r="F19"/>
  <c r="K13"/>
  <c r="F120" i="195"/>
  <c r="K6" i="216"/>
  <c r="I18" i="215"/>
  <c r="I29" s="1"/>
  <c r="E120" i="201"/>
  <c r="D34" i="216"/>
  <c r="D173" i="195" s="1"/>
  <c r="E60" i="201"/>
  <c r="F135" i="212"/>
  <c r="F46"/>
  <c r="F44"/>
  <c r="F29"/>
  <c r="F24"/>
  <c r="F18"/>
  <c r="F13"/>
  <c r="D75"/>
  <c r="D101"/>
  <c r="F6"/>
  <c r="F135" i="213"/>
  <c r="E120"/>
  <c r="F111"/>
  <c r="F106"/>
  <c r="F142"/>
  <c r="F164"/>
  <c r="F44"/>
  <c r="F75"/>
  <c r="F168"/>
  <c r="F105" i="214"/>
  <c r="F141"/>
  <c r="F163"/>
  <c r="F44"/>
  <c r="F74"/>
  <c r="F146" i="195"/>
  <c r="K10" i="215"/>
  <c r="F110" i="195"/>
  <c r="F47"/>
  <c r="F45"/>
  <c r="F30"/>
  <c r="F25"/>
  <c r="L70" i="217"/>
  <c r="L85"/>
  <c r="L78"/>
  <c r="F121" i="201"/>
  <c r="F120"/>
  <c r="F20"/>
  <c r="F60"/>
  <c r="F24" i="205"/>
  <c r="F54" i="206"/>
  <c r="D22"/>
  <c r="D44"/>
  <c r="D64" i="207"/>
  <c r="F64"/>
  <c r="F60"/>
  <c r="F8" i="208"/>
  <c r="C18" i="215"/>
  <c r="I34" i="216"/>
  <c r="D176" i="195"/>
  <c r="F60" i="210"/>
  <c r="F28" i="215"/>
  <c r="F172" i="195"/>
  <c r="F6" i="216"/>
  <c r="F22" i="206"/>
  <c r="F53" i="205"/>
  <c r="E64" i="206"/>
  <c r="E142" i="201"/>
  <c r="E164" s="1"/>
  <c r="F164" s="1"/>
  <c r="F106"/>
  <c r="F105" i="195"/>
  <c r="F15" i="216"/>
  <c r="F21"/>
  <c r="D51" i="206"/>
  <c r="F100" i="214"/>
  <c r="F167"/>
  <c r="F43" i="205"/>
  <c r="F50"/>
  <c r="D168" i="212"/>
  <c r="E101" i="213"/>
  <c r="D166" i="195"/>
  <c r="D51" i="207"/>
  <c r="F7" i="215"/>
  <c r="D30" i="205"/>
  <c r="F30"/>
  <c r="F32"/>
  <c r="E36" i="195"/>
  <c r="F37"/>
  <c r="F36"/>
  <c r="E7" i="207"/>
  <c r="E44"/>
  <c r="E51"/>
  <c r="F9"/>
  <c r="F7"/>
  <c r="D29" i="215"/>
  <c r="F163" i="201"/>
  <c r="F48" i="210"/>
  <c r="D45"/>
  <c r="F45"/>
  <c r="C75" i="212"/>
  <c r="D163"/>
  <c r="D164"/>
  <c r="K14" i="216"/>
  <c r="E8" i="201"/>
  <c r="F8" i="211"/>
  <c r="F76" i="195"/>
  <c r="D142" i="201"/>
  <c r="D46"/>
  <c r="F46"/>
  <c r="F64" i="211"/>
  <c r="C105" i="195"/>
  <c r="F15" i="201"/>
  <c r="D77"/>
  <c r="D43" i="205"/>
  <c r="D50"/>
  <c r="F8" i="206"/>
  <c r="F60"/>
  <c r="D64"/>
  <c r="F64"/>
  <c r="C163" i="212"/>
  <c r="D75" i="213"/>
  <c r="D163"/>
  <c r="D164"/>
  <c r="C119" i="214"/>
  <c r="C141"/>
  <c r="C163"/>
  <c r="J11" i="215"/>
  <c r="E134" i="195"/>
  <c r="F17" i="202"/>
  <c r="F29"/>
  <c r="C164" i="212"/>
  <c r="C101" i="213"/>
  <c r="E168" i="212"/>
  <c r="F142"/>
  <c r="F164"/>
  <c r="D30" i="215"/>
  <c r="D44" i="208"/>
  <c r="C44" i="211"/>
  <c r="C51"/>
  <c r="D31"/>
  <c r="F31"/>
  <c r="F33"/>
  <c r="C29" i="215"/>
  <c r="F101" i="213"/>
  <c r="D102" i="201"/>
  <c r="F102"/>
  <c r="F22" i="210"/>
  <c r="F45" i="211"/>
  <c r="E44" i="206"/>
  <c r="E51"/>
  <c r="C134" i="195"/>
  <c r="C76"/>
  <c r="E21" i="216"/>
  <c r="D101" i="195"/>
  <c r="D171"/>
  <c r="D170"/>
  <c r="H18" i="215"/>
  <c r="C50" i="205"/>
  <c r="F10" i="210"/>
  <c r="D8"/>
  <c r="F25"/>
  <c r="E142" i="212"/>
  <c r="E164"/>
  <c r="D74" i="214"/>
  <c r="E119" i="195"/>
  <c r="H6" i="216"/>
  <c r="H21" s="1"/>
  <c r="C119" i="195"/>
  <c r="I15" i="216"/>
  <c r="K15" s="1"/>
  <c r="K21" s="1"/>
  <c r="F31" i="210"/>
  <c r="C100" i="212"/>
  <c r="E74" i="214"/>
  <c r="F101" i="195"/>
  <c r="F171"/>
  <c r="F170"/>
  <c r="F58" i="212"/>
  <c r="F75"/>
  <c r="F100"/>
  <c r="C121" i="201"/>
  <c r="C120"/>
  <c r="C142"/>
  <c r="C164"/>
  <c r="C74" i="214"/>
  <c r="C162"/>
  <c r="C21" i="216"/>
  <c r="E135" i="213"/>
  <c r="E142"/>
  <c r="E37" i="201"/>
  <c r="F37" s="1"/>
  <c r="E164" i="213"/>
  <c r="E168"/>
  <c r="E167" i="214"/>
  <c r="E100"/>
  <c r="D100"/>
  <c r="D167"/>
  <c r="J36" i="216"/>
  <c r="E36"/>
  <c r="D44" i="211"/>
  <c r="E9" i="215"/>
  <c r="E76" i="195"/>
  <c r="F51" i="206"/>
  <c r="C102" i="195"/>
  <c r="K11" i="215"/>
  <c r="K18" s="1"/>
  <c r="K29" s="1"/>
  <c r="J18"/>
  <c r="J29"/>
  <c r="E31" s="1"/>
  <c r="D101" i="213"/>
  <c r="D168"/>
  <c r="C141" i="195"/>
  <c r="C162"/>
  <c r="F101" i="212"/>
  <c r="F168"/>
  <c r="E141" i="195"/>
  <c r="F119"/>
  <c r="C30" i="215"/>
  <c r="H29"/>
  <c r="H31" s="1"/>
  <c r="I21" i="216"/>
  <c r="D164" i="201"/>
  <c r="F142"/>
  <c r="C168" i="212"/>
  <c r="C101"/>
  <c r="F51" i="207"/>
  <c r="D102" i="195"/>
  <c r="C167" i="214"/>
  <c r="C100"/>
  <c r="D44" i="210"/>
  <c r="F8"/>
  <c r="D51" i="208"/>
  <c r="F51"/>
  <c r="F44"/>
  <c r="D103" i="201"/>
  <c r="F102" i="195"/>
  <c r="F8" i="201"/>
  <c r="E77"/>
  <c r="E103"/>
  <c r="F44" i="207"/>
  <c r="F44" i="206"/>
  <c r="F77" i="201"/>
  <c r="F103"/>
  <c r="D51" i="210"/>
  <c r="F51"/>
  <c r="F44"/>
  <c r="D51" i="211"/>
  <c r="F51"/>
  <c r="F44"/>
  <c r="I35" i="216"/>
  <c r="D36"/>
  <c r="I36"/>
  <c r="E162" i="195"/>
  <c r="F141"/>
  <c r="C166"/>
  <c r="E102"/>
  <c r="E166"/>
  <c r="C31" i="215"/>
  <c r="F9"/>
  <c r="E18"/>
  <c r="F162" i="195"/>
  <c r="F166"/>
  <c r="E29" i="215"/>
  <c r="E30"/>
  <c r="D37" i="216"/>
  <c r="I37"/>
  <c r="I14" i="220"/>
  <c r="I42"/>
  <c r="I44"/>
  <c r="I33"/>
  <c r="I31"/>
  <c r="I20"/>
  <c r="I25"/>
  <c r="I47"/>
  <c r="I36"/>
  <c r="D31" i="215" l="1"/>
  <c r="I31"/>
  <c r="C173" i="195"/>
  <c r="C35" i="216"/>
  <c r="F18" i="215"/>
  <c r="F36" i="216"/>
  <c r="K36"/>
  <c r="K35"/>
  <c r="H35"/>
  <c r="H36"/>
  <c r="C36"/>
  <c r="F34"/>
  <c r="F173" i="195" s="1"/>
  <c r="F37" i="216"/>
  <c r="K37"/>
  <c r="E37"/>
  <c r="J37"/>
  <c r="E34"/>
  <c r="J31" i="215"/>
  <c r="D35" i="216"/>
  <c r="F35" l="1"/>
  <c r="E173" i="195"/>
  <c r="E35" i="216"/>
  <c r="C37"/>
  <c r="H37"/>
  <c r="F31" i="215"/>
  <c r="F29"/>
  <c r="K31"/>
  <c r="F30"/>
</calcChain>
</file>

<file path=xl/sharedStrings.xml><?xml version="1.0" encoding="utf-8"?>
<sst xmlns="http://schemas.openxmlformats.org/spreadsheetml/2006/main" count="3013" uniqueCount="644">
  <si>
    <t>Előirányzat-csoport, kiemelt előirányzat megnevezése</t>
  </si>
  <si>
    <t>Bevételek</t>
  </si>
  <si>
    <t>Kiadások</t>
  </si>
  <si>
    <t>Egyéb fejlesztési célú kiadások</t>
  </si>
  <si>
    <t>Megnevezés</t>
  </si>
  <si>
    <t>3.1.</t>
  </si>
  <si>
    <t>3.2.</t>
  </si>
  <si>
    <t>3.3.</t>
  </si>
  <si>
    <t>3.4.</t>
  </si>
  <si>
    <t>4.1.</t>
  </si>
  <si>
    <t>4.2.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</si>
  <si>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</si>
  <si>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</si>
  <si>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</si>
  <si>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</si>
  <si>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</si>
  <si>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</si>
  <si>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</si>
  <si>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</si>
  <si>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</si>
  <si>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</si>
  <si>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</si>
  <si>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</si>
  <si>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</si>
  <si>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</si>
  <si>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</si>
  <si>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</si>
  <si>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</si>
  <si>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</si>
  <si>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</si>
  <si>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</si>
  <si>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</si>
  <si>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</si>
  <si>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2.6.</t>
  </si>
  <si>
    <t>2.7.</t>
  </si>
  <si>
    <t>Dologi  kiadások</t>
  </si>
  <si>
    <t>1.5.</t>
  </si>
  <si>
    <t>11.1.</t>
  </si>
  <si>
    <t>11.2.</t>
  </si>
  <si>
    <t>3.5.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</si>
  <si>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</si>
  <si>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</si>
  <si>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</si>
  <si>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</si>
  <si>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</si>
  <si>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</si>
  <si>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</si>
  <si>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</si>
  <si>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7.3.</t>
  </si>
  <si>
    <t>8.1.</t>
  </si>
  <si>
    <t>8.2.</t>
  </si>
  <si>
    <t>12.1.</t>
  </si>
  <si>
    <t>12.2.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</si>
  <si>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</si>
  <si>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</si>
  <si>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</si>
  <si>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</si>
  <si>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1.2.1.</t>
  </si>
  <si>
    <t>1.2.2.</t>
  </si>
  <si>
    <t>Száma</t>
  </si>
  <si>
    <t>Éves engedélyezett létszám előirányzat (fő)</t>
  </si>
  <si>
    <t>Közfoglalkoztatottak létszáma (fő)</t>
  </si>
  <si>
    <t>Városi Óvodai Intézmény</t>
  </si>
  <si>
    <t>Városi Bölcsőde</t>
  </si>
  <si>
    <t>Rendezési terv módosítás</t>
  </si>
  <si>
    <t>Volt VEGYTEK telephely kármentesítése</t>
  </si>
  <si>
    <t>I.</t>
  </si>
  <si>
    <t>Kerékpárút építés (Jókai-Szolnoki út között)</t>
  </si>
  <si>
    <t>II.</t>
  </si>
  <si>
    <t>Felújítási feladatok kötelezettségvállalással össz.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</si>
  <si>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</si>
  <si>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</si>
  <si>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</si>
  <si>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</si>
  <si>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</si>
  <si>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</si>
  <si>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</si>
  <si>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</si>
  <si>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</si>
  <si>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</si>
  <si>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</si>
  <si>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</si>
  <si>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</si>
  <si>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</si>
  <si>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</si>
  <si>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</si>
  <si>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</si>
  <si>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</si>
  <si>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</si>
  <si>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</si>
  <si>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</si>
  <si>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</si>
  <si>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</si>
  <si>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</si>
  <si>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</si>
  <si>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</si>
  <si>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</si>
  <si>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</si>
  <si>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Személyi  juttatások</t>
  </si>
  <si>
    <t>5.9.</t>
  </si>
  <si>
    <t>Önkormányzatok szociális és gyermekjóléti feladatainak támogatása</t>
  </si>
  <si>
    <t>Önkormányzatok kulturális feladatainak támogatása</t>
  </si>
  <si>
    <t>Hazai támogatás</t>
  </si>
  <si>
    <t>EU-s támogatás</t>
  </si>
  <si>
    <t>Eredeti előirányzat</t>
  </si>
  <si>
    <t>Úszómedence építés I. ütem</t>
  </si>
  <si>
    <t>Ezer forintban</t>
  </si>
  <si>
    <t>8.3.</t>
  </si>
  <si>
    <t>Beruházások</t>
  </si>
  <si>
    <t>Egyéb felhalmozási kiadások</t>
  </si>
  <si>
    <t>- EU-s forrásból finanszírozott támogatással megvalósuló programok, projektek kiadásai</t>
  </si>
  <si>
    <t>Költségvetési maradvány igénybevétele</t>
  </si>
  <si>
    <t>28.</t>
  </si>
  <si>
    <t>29.</t>
  </si>
  <si>
    <t>30.</t>
  </si>
  <si>
    <t>31.</t>
  </si>
  <si>
    <t>- Hazai forrásból finanszírozott támogatással megvalósuló  programok,  projektek kiadásai</t>
  </si>
  <si>
    <t>Városi Önkormányzat Egyesített Gyógyító-Megelőző Intézet</t>
  </si>
  <si>
    <t>- EU-s forrásból finanszírozott támogatással megvalósuló  programok,  projektek önkormányzati hozzájárulásának kiadásai</t>
  </si>
  <si>
    <t>8.4.</t>
  </si>
  <si>
    <t>Egyéb felhalmozási célú bevétel</t>
  </si>
  <si>
    <t>7.4.</t>
  </si>
  <si>
    <t>7.5.</t>
  </si>
  <si>
    <t>TÁMOP 3.1.11. Óvodafejlesztési pályázat</t>
  </si>
  <si>
    <t>- Hazai forrásból finanszírozott támogatással megvalósuló  programok,  projektek önkormányzati hozzájárulásának kiadásai
  hozzájárulásának kiadásai</t>
  </si>
  <si>
    <t>32.</t>
  </si>
  <si>
    <t>33.</t>
  </si>
  <si>
    <t>34.</t>
  </si>
  <si>
    <t>35.</t>
  </si>
  <si>
    <t>Derogációs szennyvíz hálózat fejlesztés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</si>
  <si>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</si>
  <si>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</si>
  <si>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</si>
  <si>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</si>
  <si>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</si>
  <si>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</si>
  <si>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</si>
  <si>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</si>
  <si>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</si>
  <si>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"Tanyaprogram" keretében végrehajtott fejlesztés (eszköz beszerzés)</t>
  </si>
  <si>
    <t>"Tanyaprogram" keretében végrehajtott fejlesztés (Kossuth L. u. 122. felújítás, átalakítás)</t>
  </si>
  <si>
    <t>LEADER (Surjányi orvosi rendelő felújítása 2014)</t>
  </si>
  <si>
    <t>Iparvágány rekonstrukció</t>
  </si>
  <si>
    <t xml:space="preserve">Városháza felújítása </t>
  </si>
  <si>
    <t>46.</t>
  </si>
  <si>
    <t>47.</t>
  </si>
  <si>
    <t>48.</t>
  </si>
  <si>
    <t>Közvilágítás kiépítése</t>
  </si>
  <si>
    <t>Összesen</t>
  </si>
  <si>
    <t>Gépkocsi vásárlás</t>
  </si>
  <si>
    <t>III.</t>
  </si>
  <si>
    <r>
      <t>Járda</t>
    </r>
    <r>
      <rPr>
        <b/>
        <u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felújítása 2013.-2014.év</t>
    </r>
  </si>
  <si>
    <t>Művelődési Ház előtti terület rendezése (Pánthy 2-6.)</t>
  </si>
  <si>
    <t>Jubileum tér részleges felújítása</t>
  </si>
  <si>
    <t>Nagyfelületű útjavítások ( Csokonai, Mátyás király)</t>
  </si>
  <si>
    <t>Tagóvodák felújítása</t>
  </si>
  <si>
    <t>Helytörténeti gyűjtemény felújítása</t>
  </si>
  <si>
    <t>Kodály AMI udvari ajtó csere</t>
  </si>
  <si>
    <t>VESZ Óballai úti konyha épületén nyílászáró csere</t>
  </si>
  <si>
    <t>Bölcsőde udvari járdák felújítása</t>
  </si>
  <si>
    <t>Járási Hivatal nyílászáró csere, tető javítás</t>
  </si>
  <si>
    <t>Hunyadi Iskola vizesblokkok felújítása</t>
  </si>
  <si>
    <t>Hunyadi Iskola pavilon épület részleges felújítása</t>
  </si>
  <si>
    <t>Katolikus Egyház kezelésében lévő épületek felújítása</t>
  </si>
  <si>
    <t>Baptista Szeretetszolgálat kezelésében lévő épületben vizesblokk felújítás</t>
  </si>
  <si>
    <t>Hunyadi Iskola liftakna részleges felújítása</t>
  </si>
  <si>
    <t>Fecske lakásokban kazánok cseréje</t>
  </si>
  <si>
    <t>Almásy út 4. tetőfelújítás</t>
  </si>
  <si>
    <t>Bérlemények felújítása</t>
  </si>
  <si>
    <t>Gróf Almásy János szobrának állítása</t>
  </si>
  <si>
    <t>Kertész út 10 szám alatt üzlethelyiség részleges felújítása, kisposta kialakítása (Volt Nyár ABC átalakítása)</t>
  </si>
  <si>
    <t>Volt VEGYTEK telephely részleges felújítása</t>
  </si>
  <si>
    <t>Pánthy úti csapadékvízátemelő építése</t>
  </si>
  <si>
    <t>Ivóvíz és szennyvíz rendszer felújítása, fejlesztése</t>
  </si>
  <si>
    <t>Gyalogosátkelőhelyek létesítése (Hunyadi - Mátyás király, Herman Ottó - Tavasz utca)</t>
  </si>
  <si>
    <t>Pánthy út 12 ingatlan vásárlás</t>
  </si>
  <si>
    <t>Városi kamerarendszer bővítése (10 kamera)</t>
  </si>
  <si>
    <t>Ügyelet számára gépkocsi vásárlás</t>
  </si>
  <si>
    <t>Műfüves pálya létesítése sportpályán</t>
  </si>
  <si>
    <t>Ingatlan vásárlás (derogációs, M4 építéshez kapcsolódó)</t>
  </si>
  <si>
    <t>M4-hez vezető út építés I. ütem (Tervezés, engedélyezés, egyéb kiadás)</t>
  </si>
  <si>
    <t>Kataszteri és térinformatikai rendszer kiépítése  (e-KATA, minerva, ortofotó)</t>
  </si>
  <si>
    <t>TITÁSZ park rekonstrukció (parkoló építés, zöldfelület felújítása)</t>
  </si>
  <si>
    <t>Surjány játszótér futballpálya aszfaltozás</t>
  </si>
  <si>
    <t>Surjány zártkerti rész vízellátása</t>
  </si>
  <si>
    <t>Kossuth L. út 137. ingatlan kulturkörnyezet kialakítása, alagsori részén parkoló kialakítása</t>
  </si>
  <si>
    <t xml:space="preserve">Szociális bérlakás vásárlás (Kossuth L. út 3/5) </t>
  </si>
  <si>
    <t>Játszótér fejlesztése Galambos parkban</t>
  </si>
  <si>
    <t>Játszótér létesítése Bacsó Béla úti iskola udvarán</t>
  </si>
  <si>
    <t>EGYMI parkoló kialakítás (mentőállomás mögött)</t>
  </si>
  <si>
    <t>EGYMI rekonsturkció (alapellátás fejlesztése)</t>
  </si>
  <si>
    <t>TÁMOP 5.3.6. Komplex telep rehabilitációs pályázat</t>
  </si>
  <si>
    <t>MINDÖSSZESEN: I.+II.+III.</t>
  </si>
  <si>
    <t>Almásy út 16. (pedagógus lakások) részleges felújítása</t>
  </si>
  <si>
    <t>IV.</t>
  </si>
  <si>
    <t>Kötvényes beruházások Összesen</t>
  </si>
  <si>
    <t>Nyugdíjas klub kialakítása Kossuth út 251. (Kálvária mellett)</t>
  </si>
  <si>
    <t>Önkormányzat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</si>
  <si>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</si>
  <si>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</si>
  <si>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</si>
  <si>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</si>
  <si>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</si>
  <si>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</si>
  <si>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</si>
  <si>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</si>
  <si>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</si>
  <si>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</si>
  <si>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</si>
  <si>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</si>
  <si>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</si>
  <si>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</si>
  <si>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</si>
  <si>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</si>
  <si>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</si>
  <si>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4.3.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</si>
  <si>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</si>
  <si>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</si>
  <si>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</si>
  <si>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</si>
  <si>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</si>
  <si>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</si>
  <si>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</si>
  <si>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</si>
  <si>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</si>
  <si>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</si>
  <si>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</si>
  <si>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</si>
  <si>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</si>
  <si>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</si>
  <si>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</si>
  <si>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</si>
  <si>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</si>
  <si>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 xml:space="preserve"> - Elkülönített állami pénzalaptól</t>
  </si>
  <si>
    <t xml:space="preserve"> - Társadalombiztosítás pénzügyi alapjától</t>
  </si>
  <si>
    <t xml:space="preserve"> - Központi költségvetési szervtől</t>
  </si>
  <si>
    <t xml:space="preserve"> - 2.3 sorból Helyi és nemzetiségi önkormányzattól</t>
  </si>
  <si>
    <t xml:space="preserve"> - 4.2 sorból Helyi és nemzetiségi önkormányzattól</t>
  </si>
  <si>
    <t>4.4.</t>
  </si>
  <si>
    <t>4.5.</t>
  </si>
  <si>
    <t>4.6.</t>
  </si>
  <si>
    <t>9.3.1.</t>
  </si>
  <si>
    <t>9.3.2.</t>
  </si>
  <si>
    <t>Normatíva állami hozzájárulás</t>
  </si>
  <si>
    <t>Önkormányzati kiegészítés</t>
  </si>
  <si>
    <t>2014. évi</t>
  </si>
  <si>
    <t>Törökszentmiklós Városi Önkormányzat Városellátó Szolgálat</t>
  </si>
  <si>
    <t>Ipolyi A. Könyvtár, Múzeum és Kulturális Központ</t>
  </si>
  <si>
    <t>1.2.3.</t>
  </si>
  <si>
    <t>- Alkalmaztottak térítése</t>
  </si>
  <si>
    <t>- Bérleti és lízingdíj</t>
  </si>
  <si>
    <t>- Egyéb szolgáltatásokból származó bevétel</t>
  </si>
  <si>
    <t>Törökszentmiklósi Polgármesteri Hivatal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</si>
  <si>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</si>
  <si>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</si>
  <si>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</si>
  <si>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</si>
  <si>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</si>
  <si>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</si>
  <si>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</si>
  <si>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</si>
  <si>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</si>
  <si>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</si>
  <si>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</si>
  <si>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</si>
  <si>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</si>
  <si>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</si>
  <si>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</si>
  <si>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</si>
  <si>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Közhatalmi bevételek (4.1.+4.2.+4.3.+4.4.)</t>
  </si>
  <si>
    <t>Helyi adók  (4.1.1.+4.1.2.)</t>
  </si>
  <si>
    <t>4.1.1.</t>
  </si>
  <si>
    <t>4.1.2.</t>
  </si>
  <si>
    <t>Gépjárműadó</t>
  </si>
  <si>
    <t>Működési bevételek (5.1.+…+ 5.10.)</t>
  </si>
  <si>
    <t xml:space="preserve">Kiszámlázott általános forgalmi adó </t>
  </si>
  <si>
    <t>Általános forgalmi adó visszatérítése</t>
  </si>
  <si>
    <t>5.10.</t>
  </si>
  <si>
    <t>Felhalmozási bevételek (6.1.+…+6.5.)</t>
  </si>
  <si>
    <t>6.3.</t>
  </si>
  <si>
    <t>6.4.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</si>
  <si>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</si>
  <si>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</si>
  <si>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</si>
  <si>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</si>
  <si>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Felhalmozási célú átvett pénzeszközök (8.1.+8.2.+8.3.)</t>
  </si>
  <si>
    <t>Felhalm. célú garancia- és kezességvállalásból megtérülések ÁH-n kívülről</t>
  </si>
  <si>
    <t>Egyéb felhalmozási célú átvett pénzeszköz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</si>
  <si>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</si>
  <si>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</si>
  <si>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</si>
  <si>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</si>
  <si>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</si>
  <si>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</si>
  <si>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</si>
  <si>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</si>
  <si>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</si>
  <si>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</si>
  <si>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</si>
  <si>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</si>
  <si>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</si>
  <si>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</si>
  <si>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</si>
  <si>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</si>
  <si>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</si>
  <si>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</si>
  <si>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</si>
  <si>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</si>
  <si>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</si>
  <si>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</si>
  <si>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</si>
  <si>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</si>
  <si>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</si>
  <si>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</si>
  <si>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</si>
  <si>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</si>
  <si>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</si>
  <si>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</si>
  <si>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</si>
  <si>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</si>
  <si>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</si>
  <si>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</si>
  <si>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</si>
  <si>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</si>
  <si>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</si>
  <si>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</si>
  <si>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</si>
  <si>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</si>
  <si>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</si>
  <si>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</si>
  <si>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</si>
  <si>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</si>
  <si>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</si>
  <si>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</si>
  <si>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</si>
  <si>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</si>
  <si>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</si>
  <si>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</si>
  <si>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</si>
  <si>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</si>
  <si>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</si>
  <si>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</si>
  <si>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</si>
  <si>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</si>
  <si>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</si>
  <si>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</si>
  <si>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</si>
  <si>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</si>
  <si>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</si>
  <si>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</si>
  <si>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</si>
  <si>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</si>
  <si>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</si>
  <si>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</si>
  <si>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</si>
  <si>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</si>
  <si>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</si>
  <si>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</si>
  <si>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</si>
  <si>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</si>
  <si>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</si>
  <si>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</si>
  <si>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</si>
  <si>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</si>
  <si>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</si>
  <si>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t xml:space="preserve"> - EU-s támogatás</t>
  </si>
  <si>
    <t>2.3.1.</t>
  </si>
  <si>
    <t>2.3.2.</t>
  </si>
  <si>
    <t>2.3.3.</t>
  </si>
  <si>
    <t>2.3.4.</t>
  </si>
  <si>
    <t xml:space="preserve"> - Helyi és nemzetiségi önkormányzattól</t>
  </si>
  <si>
    <t>2.5.1</t>
  </si>
  <si>
    <t>2.5.2.</t>
  </si>
  <si>
    <t>2.5.3.</t>
  </si>
  <si>
    <t>2.5.4.</t>
  </si>
  <si>
    <t>2.5.5.</t>
  </si>
  <si>
    <t>3.5.1</t>
  </si>
  <si>
    <t>3.5.2.</t>
  </si>
  <si>
    <t>3.5.3.</t>
  </si>
  <si>
    <t>3.5.4.</t>
  </si>
  <si>
    <t>3.5.5.</t>
  </si>
  <si>
    <t xml:space="preserve"> - Építményadó</t>
  </si>
  <si>
    <t xml:space="preserve"> - Magánszemélyek kommunális adója</t>
  </si>
  <si>
    <t>4.1.3.</t>
  </si>
  <si>
    <t xml:space="preserve"> - Iparűzési adó</t>
  </si>
  <si>
    <t>Egyéb áruhasználati és szolgáltatási adók (Talajterhelési díj)</t>
  </si>
  <si>
    <t>Egyéb közhatalmi bevételek (Bírságok, Pótlékok)</t>
  </si>
  <si>
    <t>5.2.1.</t>
  </si>
  <si>
    <t>5.2.2.</t>
  </si>
  <si>
    <t>5.2.3.</t>
  </si>
  <si>
    <t>- Önkormányzat sajátos felhalmozási és tőkejellegű bevétele</t>
  </si>
  <si>
    <t>- Pénzügyi befektetésekből származó bevétel</t>
  </si>
  <si>
    <t>6.4.1.</t>
  </si>
  <si>
    <t>6.4.2.</t>
  </si>
  <si>
    <t>6.4.3.</t>
  </si>
  <si>
    <t>- Önkormányzati vagyon bérleti  és lízingdíj bevétele</t>
  </si>
  <si>
    <t xml:space="preserve">  Rövid lejáratú  hitelek, kölcsönök felvétele</t>
  </si>
  <si>
    <t>Előző év költségvetési maradványának igénybevétele működési</t>
  </si>
  <si>
    <t>Előző év költségvetési maradványának igénybevétele felhalmozási</t>
  </si>
  <si>
    <t>12.1.1.</t>
  </si>
  <si>
    <t>12.1.2.</t>
  </si>
  <si>
    <t>2.1.1.</t>
  </si>
  <si>
    <t>2.1.2.</t>
  </si>
  <si>
    <t>2.1.3.</t>
  </si>
  <si>
    <t>2.1.4.</t>
  </si>
  <si>
    <t>2.1.5.</t>
  </si>
  <si>
    <t>- Önkormányzati forrásból megvalósuló beruházási kiadások</t>
  </si>
  <si>
    <r>
      <t xml:space="preserve">   - Visszatérítendő támogatások, </t>
    </r>
    <r>
      <rPr>
        <u/>
        <sz val="11"/>
        <rFont val="Times New Roman CE"/>
        <charset val="238"/>
      </rPr>
      <t xml:space="preserve">kölcsönök nyújtása </t>
    </r>
    <r>
      <rPr>
        <sz val="11"/>
        <rFont val="Times New Roman CE"/>
        <family val="1"/>
        <charset val="238"/>
      </rPr>
      <t>ÁH-n kívülre</t>
    </r>
  </si>
  <si>
    <r>
      <t xml:space="preserve">Felhalm. célú visszatérítendő támogatások, </t>
    </r>
    <r>
      <rPr>
        <u/>
        <sz val="11"/>
        <rFont val="Times New Roman"/>
        <family val="1"/>
        <charset val="238"/>
      </rPr>
      <t>kölcsönök visszatér</t>
    </r>
    <r>
      <rPr>
        <sz val="11"/>
        <rFont val="Times New Roman"/>
        <family val="1"/>
        <charset val="238"/>
      </rPr>
      <t>. ÁH-n kívülről</t>
    </r>
  </si>
  <si>
    <t xml:space="preserve"> - Elvonások és befizetések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</si>
  <si>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</si>
  <si>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</si>
  <si>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</si>
  <si>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</si>
  <si>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</si>
  <si>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</si>
  <si>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</si>
  <si>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</si>
  <si>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r>
      <t xml:space="preserve">   Felhalmozási költségvetés kiadásai </t>
    </r>
    <r>
      <rPr>
        <sz val="11"/>
        <rFont val="Times New Roman CE"/>
        <charset val="238"/>
      </rPr>
      <t>(2.1.+2.2.+2.3.)</t>
    </r>
  </si>
  <si>
    <t>2.3.5.</t>
  </si>
  <si>
    <t>2.3.6.</t>
  </si>
  <si>
    <t>Működési tartalék</t>
  </si>
  <si>
    <t>3.1.1.</t>
  </si>
  <si>
    <t>3.1.2.</t>
  </si>
  <si>
    <t>- Általános tartalék</t>
  </si>
  <si>
    <t>- Céltartalék</t>
  </si>
  <si>
    <t>Felhalmozási tartalék</t>
  </si>
  <si>
    <t>3.2.1.</t>
  </si>
  <si>
    <t>3.2.2.</t>
  </si>
  <si>
    <t>Költségvetési szervek finanszírozása</t>
  </si>
  <si>
    <t>Belföldi finanszírozás kiadásai (7.1. + … + 7.5.)</t>
  </si>
  <si>
    <t>Tornaterem nem sportcélú hasznosításának műszaki feltételének megteremtése</t>
  </si>
  <si>
    <t xml:space="preserve">Szociális Városrehab pályázat </t>
  </si>
  <si>
    <t>Általános működési tartalék</t>
  </si>
  <si>
    <t>Polgármesteri  működési tartalék</t>
  </si>
  <si>
    <t>Polgármesteri  felhalmozási tartalék</t>
  </si>
  <si>
    <t xml:space="preserve">Beruházási feladatok </t>
  </si>
  <si>
    <t>Céltartalékok összesen:I.+II.</t>
  </si>
  <si>
    <t>Törökszentmiklós Városi Önkormányzat 2014. évi általános- és céltartaléka</t>
  </si>
  <si>
    <t>BEVÉTELEK</t>
  </si>
  <si>
    <t>KÖLTSÉGVETÉSI BEVÉTELEK ÉS KIADÁSOK EGYENLEGE</t>
  </si>
  <si>
    <t>Költségvetési hiány, többlet ( költségvetési bevételek 9. sor - költségvetési kiadások 4. sor) (+/-)</t>
  </si>
  <si>
    <t>VESZ Óballai úti konyha számára elektromos sütő beszerzés</t>
  </si>
  <si>
    <t xml:space="preserve">Ezer forintban </t>
  </si>
  <si>
    <t>Strandmedence felújítása, vízpótlás biztosítása</t>
  </si>
  <si>
    <t>ÁROP Szervezetfejlesztés</t>
  </si>
  <si>
    <t>7.3..</t>
  </si>
  <si>
    <t>Belföldi finanszírozás kiadásai (7.1. + … + 7.4.)</t>
  </si>
  <si>
    <t>FINANSZÍROZÁSI BEVÉTELEK ÉS KIADÁSOK EGYENLEGE</t>
  </si>
  <si>
    <t xml:space="preserve"> Finanszírozási műveletek egyenlege (1.1-1.2.) +/-</t>
  </si>
  <si>
    <t>1.1.1.</t>
  </si>
  <si>
    <t>1.1.2.</t>
  </si>
  <si>
    <t>Finanszírozási bevételek (1.1 melléklet  16. sor)</t>
  </si>
  <si>
    <t>Finanszírozási kiadások (1. 1 melléklet  9. sor)</t>
  </si>
  <si>
    <t>Csatornahálózat bérleti díja</t>
  </si>
  <si>
    <t>Kommunális Kft bevétel kiesése miatti többlet igény</t>
  </si>
  <si>
    <t>Kertész utcai önkormányzati bolt kialakítása</t>
  </si>
  <si>
    <t>Jogcímek</t>
  </si>
  <si>
    <t>EGYMI elektromos rendszer részleges korszerűsítése (alapellátáshoz kapcsolódik)</t>
  </si>
  <si>
    <t>Templom utca csapadékvízelveztés</t>
  </si>
  <si>
    <t>Útalapok lezárása (Szondi, Polgár Gellért, Vasvári Pál, Toldi, Dankó Pista, Fadrusz Óballa Gyöngyvirág út)</t>
  </si>
  <si>
    <t>Útalap építése (Hegedűs, Radnóti, Cimbalmos, Csokonai utcák)</t>
  </si>
  <si>
    <t>Ártézikút létesítése</t>
  </si>
  <si>
    <t>Széchenyi és Almásy utcákban parkoló létesítése</t>
  </si>
  <si>
    <t>"Mozdony" felálítása az állomás előtti területen</t>
  </si>
  <si>
    <t>Bölcsőde csoportszoba kialakítás</t>
  </si>
  <si>
    <t>Szalagház előtti járda felújítása 2013.-2014.</t>
  </si>
  <si>
    <t>Kossuth Lajos út járda felújítása (Kossuth 126-158)</t>
  </si>
  <si>
    <t>Kossuth Lajos út járda felújítása (Kossuth 129-133)</t>
  </si>
  <si>
    <t>Herman O.-Kölcsey sarok parkoló kialakítása</t>
  </si>
  <si>
    <t>Kossuth Lajos út 129-131 homlokzat felújítása</t>
  </si>
  <si>
    <t>Módosított előirányzat</t>
  </si>
  <si>
    <t>Eredeit előirányzat</t>
  </si>
  <si>
    <t xml:space="preserve">2014. évi </t>
  </si>
  <si>
    <t>Törökszentmiklós Városi Önkormányzat
2014. ÉVI KÖLTSÉGVETÉS KÖTELEZŐ FELADATAINAK MÉRLEGE</t>
  </si>
  <si>
    <t xml:space="preserve">Törökszentmiklós Városi Önkormányzat
2014. ÉVI KÖLTSÉGVETÉS ÖNKÉNT VÁLLALT FELADATAINAK MÉRLEGE
</t>
  </si>
  <si>
    <t>Törökszentmiklós Városi Önkormányzat
2014. ÉVI KÖLTSÉGVETÉS ÁLLAMIGAZGATÁSI FELADATAINAK MÉRLEGE</t>
  </si>
  <si>
    <t xml:space="preserve"> KEOP Tagóvodák energetikai korszerűsítése</t>
  </si>
  <si>
    <t>PH informatikai eszközvásárlás</t>
  </si>
  <si>
    <t>EGYMI eszközbeszerzés</t>
  </si>
  <si>
    <t>Kerékpártárolók készítése</t>
  </si>
  <si>
    <t>EU-s pályázatok Összesen</t>
  </si>
  <si>
    <t>26</t>
  </si>
  <si>
    <t>E útdíj bevezétése miatti bevételkiesés ellentételezése</t>
  </si>
  <si>
    <t>KSSZK jelzőrendszeres segélynyújtás áthúzódó támog.</t>
  </si>
  <si>
    <t>ÖNHIKI elszámolás maradványa</t>
  </si>
  <si>
    <t>Társulás 2013.évi áthózódó pénzeszköz</t>
  </si>
  <si>
    <t>Panelprogram</t>
  </si>
  <si>
    <t>Viziközmű hátralék</t>
  </si>
  <si>
    <t>Trianoni emlékmű adomány</t>
  </si>
  <si>
    <t>Lakásalap</t>
  </si>
  <si>
    <t>Kölcsey iskola beázás megszűntetése</t>
  </si>
  <si>
    <t>Játszótér létesítése Szakállason</t>
  </si>
  <si>
    <t>Játék telepítés Petőfi lakótelepen</t>
  </si>
  <si>
    <t>Ingatlanvásárlás Hunyadi út 4. és Hunyadi út 4/A.</t>
  </si>
  <si>
    <t>EGYMI járóbeteg szakellátás elektromos felújítás, gyengeáram hálózat felújítása</t>
  </si>
  <si>
    <t>Felhalmozási szabad pénzmaradvány</t>
  </si>
  <si>
    <t>Városrehab. Pályázat önerő támogatás (kötvényes)</t>
  </si>
  <si>
    <t>Városrehab. Pályázat 2013.évi záró pénzkészlet (kötvényes)</t>
  </si>
  <si>
    <t>I. Működési célú bevételek és kiadások mérlege 2014. év
(Önkormányzati szinten)</t>
  </si>
  <si>
    <t>Sor-
szám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</si>
  <si>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</si>
  <si>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</si>
  <si>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</si>
  <si>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</si>
  <si>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</si>
  <si>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célú átvett pénzeszközök államháztartáson kivülről</t>
  </si>
  <si>
    <t>Költségvetési bevételek összesen (1+...+12)</t>
  </si>
  <si>
    <t>Költségvetési kiadások összesen (1+...+12)</t>
  </si>
  <si>
    <t>Értékpapír vásárlása, visszavásárlása</t>
  </si>
  <si>
    <t xml:space="preserve">   Költségvetési maradvány igénybevétele </t>
  </si>
  <si>
    <t>Likviditási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</si>
  <si>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</si>
  <si>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</si>
  <si>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</si>
  <si>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</si>
  <si>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</si>
  <si>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</si>
  <si>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(20+…+21) </t>
  </si>
  <si>
    <t>Forgatási célú belföldi, külföldi értékpapírok vásárlása</t>
  </si>
  <si>
    <t xml:space="preserve">   Likviditási célú hitelek, kölcsönök felvétele</t>
  </si>
  <si>
    <t>Betét elhelyezése</t>
  </si>
  <si>
    <t>Költségvetési hiány:</t>
  </si>
  <si>
    <t>Költségvetési többlet:</t>
  </si>
  <si>
    <t>Tárgyévi  hiány:</t>
  </si>
  <si>
    <t>Tárgyévi  többlet:</t>
  </si>
  <si>
    <t>II. Felhalmozási célú bevételek és kiadások mérlege 2014. év
(Önkormányzati szinten)</t>
  </si>
  <si>
    <t>Felhalmozási célú támogatások államháztartáson belülről</t>
  </si>
  <si>
    <t xml:space="preserve"> - ebből:Felhalmozási célú önkormányzati támogatások</t>
  </si>
  <si>
    <t xml:space="preserve"> - ebből:EU támogatások</t>
  </si>
  <si>
    <t xml:space="preserve"> - ebből:Hazai támogatások</t>
  </si>
  <si>
    <t>Felhalmozási célú átvett pénzeszközök átvétele államháztartásonkivülről</t>
  </si>
  <si>
    <t>Magánszemélyek kommunális adója</t>
  </si>
  <si>
    <t>Iparűzési adó</t>
  </si>
  <si>
    <t>Építményadó</t>
  </si>
  <si>
    <t>Tárgyi eszközök értékesítése</t>
  </si>
  <si>
    <t>- Önk. sajátos felhalmozási és tőkejellegű bevétele</t>
  </si>
  <si>
    <t>Költségvetési bevételek összesen:</t>
  </si>
  <si>
    <t>Költségvetési kiadások összesen:</t>
  </si>
  <si>
    <t>Hiány belső finanszírozás bevételei ( 18+…+22)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</si>
  <si>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</si>
  <si>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</si>
  <si>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</si>
  <si>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</si>
  <si>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</si>
  <si>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</si>
  <si>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(24+…+28 )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</si>
  <si>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</si>
  <si>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</si>
  <si>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</si>
  <si>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</si>
  <si>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</si>
  <si>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</si>
  <si>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(17+23)</t>
  </si>
  <si>
    <t>Felhalmozási célú finanszírozási kiadások összesen(17+..+28)</t>
  </si>
  <si>
    <t>BEVÉTEL ÖSSZESEN (16+29)</t>
  </si>
  <si>
    <t>KIADÁSOK ÖSSZESEN (27+28)</t>
  </si>
  <si>
    <t>Törökszentmiklós Városi Önkormányzat
2014. ÉVI KÖLTSÉGVETÉSÉNEK ÖSSZEVONT MÉRLEGE</t>
  </si>
  <si>
    <t>Módosított ei</t>
  </si>
  <si>
    <t>Felhalmozási bevételek (6.1.+…+6.4.)</t>
  </si>
  <si>
    <t>49.</t>
  </si>
  <si>
    <t>50.</t>
  </si>
  <si>
    <t>Játszótér építés Óballa</t>
  </si>
  <si>
    <t>45.</t>
  </si>
  <si>
    <t>Közvilágítás lámpatestek cseréje Hold utca</t>
  </si>
  <si>
    <t>Polgármesteri Hivatal pince ablakok felújítása</t>
  </si>
  <si>
    <t>51.</t>
  </si>
  <si>
    <t>Kemping területén megvalósuló fejlesztési feladatok</t>
  </si>
  <si>
    <t>52.</t>
  </si>
  <si>
    <t>Polgármesteri keretből eszközbeszerzés</t>
  </si>
  <si>
    <t xml:space="preserve">53. </t>
  </si>
  <si>
    <t>Zöldfelület-gazdálkodási feladatok terhére 23 db pad készítés</t>
  </si>
  <si>
    <t>54.</t>
  </si>
  <si>
    <t>Városi rendezvényekre agregátor készítés</t>
  </si>
  <si>
    <t>Közmű Társulási számla rendezése</t>
  </si>
  <si>
    <t>55.</t>
  </si>
  <si>
    <t>Városi Óvoda eszközbeszerzés</t>
  </si>
  <si>
    <t>Start munkaprogram beruházási feladatok</t>
  </si>
  <si>
    <t xml:space="preserve">   - Részesedés,üzletrész vásárlása</t>
  </si>
  <si>
    <t>2.8.</t>
  </si>
  <si>
    <t xml:space="preserve"> -  TÁMOP 6.1.2 pályázat</t>
  </si>
  <si>
    <t>Önkormányzati sajáterő</t>
  </si>
  <si>
    <t>Eredeti ei.</t>
  </si>
  <si>
    <t>56.</t>
  </si>
  <si>
    <t>Kisértékű tárgyieszközök beszerzése</t>
  </si>
  <si>
    <t>Surjány Leader eszköz vás.</t>
  </si>
  <si>
    <t xml:space="preserve"> - Termőföld bérbeadása miatti szja</t>
  </si>
  <si>
    <t>4.1.4.</t>
  </si>
  <si>
    <t>Helyi adók  (4.1.1.+4.1.2.+4.1.3.+4.1.4.)</t>
  </si>
  <si>
    <t xml:space="preserve">2014. évi tervezett összegek </t>
  </si>
  <si>
    <t>4.1.4</t>
  </si>
  <si>
    <t xml:space="preserve"> - Termőföldbérbeadás miatti szja</t>
  </si>
  <si>
    <t>Hunyadi Iskola nyílászáró csere+8 tanterem világítás felújítás+ parketta csiszolás</t>
  </si>
  <si>
    <t>Helytörténeti gyűjtemény bútor vásárlás</t>
  </si>
  <si>
    <t>Ipoly Könyvtár eszközbeszerzés</t>
  </si>
  <si>
    <t>57.</t>
  </si>
  <si>
    <t>VESZ eszközbeszerzés</t>
  </si>
  <si>
    <t>58.</t>
  </si>
  <si>
    <t>EGYMI nyilászáró csere</t>
  </si>
  <si>
    <t>6.4.4.</t>
  </si>
  <si>
    <t>-Felhalmozási célú áfa visszatérülés</t>
  </si>
  <si>
    <t>Törökszentmiklós Városi Önkormányzat 2014. évi felújítási kiadások felújításonként</t>
  </si>
  <si>
    <t>Törökszentmiklós Városi Önkormányzat 2014. évi beruházási kiadások beruházásonként</t>
  </si>
  <si>
    <t>59.</t>
  </si>
  <si>
    <t>60.</t>
  </si>
  <si>
    <t xml:space="preserve">             Felhalmozási célú finanszírozási bevételek (2.2. melléklet 29. sor)</t>
  </si>
  <si>
    <t xml:space="preserve">              Felhalmozási célú finanszírozási kiadások (2.2 .melléklet 29. sor)</t>
  </si>
  <si>
    <t>61.</t>
  </si>
  <si>
    <t>Értékpapírok bevételei</t>
  </si>
  <si>
    <t>Hiány belső finanszírozásának bevételei (15+…+19 )</t>
  </si>
  <si>
    <t>BEVÉTEL ÖSSZESEN (13+23)</t>
  </si>
  <si>
    <t>Működési célú finanszírozási bevételek összesen (14+20)</t>
  </si>
  <si>
    <t>Működési célú finanszírozási kiadások összesen (14+...+22)</t>
  </si>
  <si>
    <t>KIADÁSOK ÖSSZESEN (13+23)</t>
  </si>
  <si>
    <t>1.1-ből: Működési célú finanszírozási bevételek (2.1. melléklet 23. sor)</t>
  </si>
  <si>
    <t>1.2-ből: Működési célú finanszírozási kiadások (2.1. melléklet 23. sor)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</si>
  <si>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</si>
  <si>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Felhalmozási célú áfa visszatérülés</t>
  </si>
  <si>
    <t>5. számú módosítás</t>
  </si>
  <si>
    <t xml:space="preserve">KÖZOP Kerékpárút építés </t>
  </si>
  <si>
    <t>Polgárvédelem eszközvásárlás</t>
  </si>
  <si>
    <t>Kerékpár út építés tervezési költség T.miklós-Fegyvernek szakasz, Dózsa Gy. Út</t>
  </si>
  <si>
    <t>62.</t>
  </si>
  <si>
    <t>63.</t>
  </si>
  <si>
    <t>Bölcsöde eszközvásárlás</t>
  </si>
  <si>
    <t>Közfoglalkoztatás számára erőgép, pótkocsi és babella  vásárlása</t>
  </si>
  <si>
    <t>Törökszentmiklós Városi Önkormányzat 2014. évi engedélyezett létszámkerete
2014. jaunár 1-től</t>
  </si>
  <si>
    <t>Cím-szám</t>
  </si>
  <si>
    <t>Intézmény
megnevezése</t>
  </si>
  <si>
    <t>Közalkalma-zott szakmai álláshelyek</t>
  </si>
  <si>
    <t>Közalkalma-zott gazdasági álláshelyek</t>
  </si>
  <si>
    <t>Közalkalmazott technikai álláshelyek</t>
  </si>
  <si>
    <t>MT. hatálya alá tartozó álláshelyek</t>
  </si>
  <si>
    <t>Köz-tisztviselő álláshelyek</t>
  </si>
  <si>
    <t>VESZ</t>
  </si>
  <si>
    <t>EGYMI</t>
  </si>
  <si>
    <t>Polgármesteri Hivatal</t>
  </si>
  <si>
    <t>Tmiklós Önkormányzat</t>
  </si>
  <si>
    <t>Ipolyi Arnold KMKK</t>
  </si>
  <si>
    <t>Mindösszesen</t>
  </si>
  <si>
    <t>Törökszentmiklós Városi Önkormányzat 2014. évi engedélyezett létszámkeret
5. számú módosítás  2014. szeptember 15-től</t>
  </si>
  <si>
    <t>Törökszentmiklós Városi Önkormányzat 2014. évi engedélyezett létszámkeret
5. számú módosítás  2014. december 1-től</t>
  </si>
  <si>
    <t>Törökszentmiklós Városi Önkormányzat 2014. évi módosított engedélyezett létszámkeret</t>
  </si>
  <si>
    <t>Közfoglalkoztatottak, nyári diákmunka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</si>
</sst>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63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2"/>
      <name val="Times New Roman CE"/>
      <charset val="238"/>
    </font>
    <font>
      <b/>
      <u/>
      <sz val="12"/>
      <name val="Times New Roman"/>
      <family val="1"/>
      <charset val="238"/>
    </font>
    <font>
      <b/>
      <sz val="14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2"/>
      <name val="Arial"/>
      <family val="2"/>
      <charset val="238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b/>
      <i/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 CE"/>
      <family val="1"/>
      <charset val="238"/>
    </font>
    <font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29" fillId="0" borderId="0"/>
    <xf numFmtId="0" fontId="19" fillId="0" borderId="0"/>
    <xf numFmtId="0" fontId="61" fillId="0" borderId="0"/>
    <xf numFmtId="0" fontId="49" fillId="0" borderId="0"/>
    <xf numFmtId="0" fontId="8" fillId="0" borderId="0"/>
    <xf numFmtId="0" fontId="18" fillId="0" borderId="0"/>
    <xf numFmtId="0" fontId="18" fillId="0" borderId="0"/>
  </cellStyleXfs>
  <cellXfs count="1703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1" fillId="0" borderId="0" xfId="12" applyFont="1" applyFill="1"/>
    <xf numFmtId="0" fontId="21" fillId="0" borderId="0" xfId="12" applyFont="1"/>
    <xf numFmtId="0" fontId="21" fillId="0" borderId="0" xfId="12" applyFont="1" applyAlignment="1">
      <alignment vertical="center" wrapText="1"/>
    </xf>
    <xf numFmtId="0" fontId="20" fillId="0" borderId="0" xfId="12" applyFont="1" applyAlignment="1">
      <alignment vertical="center" wrapText="1"/>
    </xf>
    <xf numFmtId="0" fontId="22" fillId="0" borderId="0" xfId="12" applyFont="1"/>
    <xf numFmtId="0" fontId="21" fillId="2" borderId="0" xfId="12" applyFont="1" applyFill="1"/>
    <xf numFmtId="0" fontId="20" fillId="0" borderId="0" xfId="12" applyFont="1" applyAlignment="1">
      <alignment horizontal="center"/>
    </xf>
    <xf numFmtId="0" fontId="20" fillId="0" borderId="0" xfId="12" applyFont="1"/>
    <xf numFmtId="0" fontId="20" fillId="2" borderId="0" xfId="12" applyFont="1" applyFill="1" applyBorder="1" applyAlignment="1">
      <alignment vertical="center" wrapText="1"/>
    </xf>
    <xf numFmtId="3" fontId="17" fillId="2" borderId="0" xfId="12" applyNumberFormat="1" applyFont="1" applyFill="1" applyBorder="1" applyAlignment="1">
      <alignment vertical="center" wrapText="1"/>
    </xf>
    <xf numFmtId="0" fontId="24" fillId="0" borderId="0" xfId="12" applyFont="1" applyAlignment="1">
      <alignment vertical="center" wrapText="1"/>
    </xf>
    <xf numFmtId="0" fontId="21" fillId="0" borderId="0" xfId="12" applyFont="1" applyAlignment="1">
      <alignment wrapText="1"/>
    </xf>
    <xf numFmtId="0" fontId="25" fillId="0" borderId="0" xfId="12" applyFont="1"/>
    <xf numFmtId="0" fontId="0" fillId="0" borderId="0" xfId="0" applyBorder="1" applyAlignment="1">
      <alignment horizontal="center"/>
    </xf>
    <xf numFmtId="0" fontId="30" fillId="0" borderId="0" xfId="0" applyFont="1" applyFill="1" applyAlignment="1">
      <alignment vertical="center" wrapText="1"/>
    </xf>
    <xf numFmtId="0" fontId="22" fillId="0" borderId="0" xfId="12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2" fillId="0" borderId="0" xfId="12" applyFont="1" applyBorder="1" applyAlignment="1">
      <alignment horizontal="center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3" xfId="0" applyFont="1" applyBorder="1" applyAlignment="1" applyProtection="1">
      <alignment horizontal="left" vertical="center" wrapText="1" indent="1"/>
    </xf>
    <xf numFmtId="0" fontId="1" fillId="0" borderId="3" xfId="10" applyFont="1" applyFill="1" applyBorder="1" applyAlignment="1" applyProtection="1">
      <alignment horizontal="left" vertical="center" wrapText="1" indent="1"/>
    </xf>
    <xf numFmtId="0" fontId="1" fillId="0" borderId="4" xfId="10" applyFont="1" applyFill="1" applyBorder="1" applyAlignment="1" applyProtection="1">
      <alignment horizontal="left" vertical="center" wrapText="1" indent="1"/>
    </xf>
    <xf numFmtId="0" fontId="28" fillId="0" borderId="2" xfId="10" applyFont="1" applyFill="1" applyBorder="1" applyAlignment="1" applyProtection="1">
      <alignment vertical="center" wrapText="1"/>
    </xf>
    <xf numFmtId="0" fontId="1" fillId="0" borderId="0" xfId="10" applyFont="1" applyFill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2" fillId="0" borderId="4" xfId="10" applyFont="1" applyFill="1" applyBorder="1" applyAlignment="1" applyProtection="1">
      <alignment horizontal="left" vertical="center" wrapText="1" indent="1"/>
    </xf>
    <xf numFmtId="0" fontId="2" fillId="0" borderId="3" xfId="10" applyFont="1" applyFill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10" applyFont="1" applyFill="1" applyBorder="1" applyAlignment="1" applyProtection="1">
      <alignment horizontal="left" vertical="center" wrapText="1" indent="1"/>
    </xf>
    <xf numFmtId="0" fontId="8" fillId="0" borderId="4" xfId="10" applyFont="1" applyFill="1" applyBorder="1" applyAlignment="1" applyProtection="1">
      <alignment horizontal="left" vertical="center" wrapText="1" indent="1"/>
    </xf>
    <xf numFmtId="0" fontId="8" fillId="0" borderId="5" xfId="10" applyFont="1" applyFill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8" fillId="0" borderId="3" xfId="1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 wrapText="1"/>
    </xf>
    <xf numFmtId="0" fontId="35" fillId="0" borderId="6" xfId="0" applyFont="1" applyBorder="1" applyAlignment="1" applyProtection="1">
      <alignment horizontal="left" wrapText="1" indent="1"/>
    </xf>
    <xf numFmtId="3" fontId="30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7" xfId="10" applyFont="1" applyFill="1" applyBorder="1" applyAlignment="1" applyProtection="1">
      <alignment horizontal="left" vertical="center" wrapText="1" indent="1"/>
    </xf>
    <xf numFmtId="0" fontId="2" fillId="0" borderId="8" xfId="10" applyFont="1" applyFill="1" applyBorder="1" applyAlignment="1" applyProtection="1">
      <alignment horizontal="left" vertical="center" wrapText="1" indent="1"/>
    </xf>
    <xf numFmtId="0" fontId="8" fillId="0" borderId="9" xfId="10" applyFont="1" applyFill="1" applyBorder="1" applyAlignment="1" applyProtection="1">
      <alignment horizontal="left" vertical="center" wrapText="1" indent="1"/>
    </xf>
    <xf numFmtId="0" fontId="8" fillId="0" borderId="8" xfId="10" applyFont="1" applyFill="1" applyBorder="1" applyAlignment="1" applyProtection="1">
      <alignment horizontal="left" vertical="center" wrapText="1" indent="1"/>
    </xf>
    <xf numFmtId="0" fontId="30" fillId="0" borderId="0" xfId="0" applyFont="1" applyFill="1" applyAlignment="1" applyProtection="1">
      <alignment vertical="center" wrapText="1"/>
    </xf>
    <xf numFmtId="0" fontId="23" fillId="0" borderId="1" xfId="0" applyFont="1" applyBorder="1" applyAlignment="1" applyProtection="1">
      <alignment horizontal="center" wrapText="1"/>
    </xf>
    <xf numFmtId="0" fontId="1" fillId="0" borderId="0" xfId="0" applyFont="1" applyFill="1" applyAlignment="1" applyProtection="1">
      <alignment vertical="center" wrapText="1"/>
    </xf>
    <xf numFmtId="0" fontId="30" fillId="0" borderId="0" xfId="0" applyFont="1" applyFill="1" applyAlignment="1" applyProtection="1">
      <alignment horizontal="left" vertical="center" wrapText="1"/>
    </xf>
    <xf numFmtId="0" fontId="28" fillId="0" borderId="10" xfId="10" applyFont="1" applyFill="1" applyBorder="1" applyAlignment="1" applyProtection="1">
      <alignment horizontal="left" vertical="center" wrapText="1" indent="1"/>
    </xf>
    <xf numFmtId="3" fontId="21" fillId="0" borderId="0" xfId="12" applyNumberFormat="1" applyFont="1"/>
    <xf numFmtId="0" fontId="31" fillId="0" borderId="10" xfId="10" applyFont="1" applyFill="1" applyBorder="1" applyAlignment="1" applyProtection="1">
      <alignment horizontal="left" vertical="center" wrapText="1" indent="1"/>
    </xf>
    <xf numFmtId="3" fontId="27" fillId="0" borderId="3" xfId="12" applyNumberFormat="1" applyFont="1" applyFill="1" applyBorder="1" applyAlignment="1">
      <alignment wrapText="1"/>
    </xf>
    <xf numFmtId="0" fontId="21" fillId="0" borderId="0" xfId="12" applyFont="1" applyBorder="1"/>
    <xf numFmtId="3" fontId="21" fillId="0" borderId="0" xfId="12" applyNumberFormat="1" applyFont="1" applyFill="1" applyBorder="1" applyAlignment="1">
      <alignment shrinkToFit="1"/>
    </xf>
    <xf numFmtId="0" fontId="21" fillId="0" borderId="0" xfId="12" applyFont="1" applyFill="1" applyBorder="1"/>
    <xf numFmtId="3" fontId="30" fillId="0" borderId="5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0" fontId="4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left" vertical="center" wrapText="1" indent="8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10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4" fillId="0" borderId="2" xfId="10" applyFont="1" applyFill="1" applyBorder="1" applyAlignment="1" applyProtection="1">
      <alignment horizontal="left" vertical="center" wrapText="1" inden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3" xfId="10" applyNumberFormat="1" applyFont="1" applyFill="1" applyBorder="1" applyAlignment="1" applyProtection="1">
      <alignment horizontal="left" vertical="center" wrapText="1" indent="2"/>
    </xf>
    <xf numFmtId="164" fontId="4" fillId="0" borderId="19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28" fillId="0" borderId="1" xfId="10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1" fillId="0" borderId="15" xfId="10" applyNumberFormat="1" applyFont="1" applyFill="1" applyBorder="1" applyAlignment="1" applyProtection="1">
      <alignment horizontal="center" vertical="center" wrapText="1"/>
    </xf>
    <xf numFmtId="49" fontId="1" fillId="0" borderId="14" xfId="10" applyNumberFormat="1" applyFont="1" applyFill="1" applyBorder="1" applyAlignment="1" applyProtection="1">
      <alignment horizontal="center" vertical="center" wrapText="1"/>
    </xf>
    <xf numFmtId="49" fontId="1" fillId="0" borderId="16" xfId="1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</xf>
    <xf numFmtId="0" fontId="26" fillId="0" borderId="14" xfId="0" applyFont="1" applyBorder="1" applyAlignment="1" applyProtection="1">
      <alignment horizontal="center" wrapText="1"/>
    </xf>
    <xf numFmtId="0" fontId="26" fillId="0" borderId="16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center" wrapText="1"/>
    </xf>
    <xf numFmtId="49" fontId="1" fillId="0" borderId="13" xfId="10" applyNumberFormat="1" applyFont="1" applyFill="1" applyBorder="1" applyAlignment="1" applyProtection="1">
      <alignment horizontal="center" vertical="center" wrapText="1"/>
    </xf>
    <xf numFmtId="49" fontId="1" fillId="0" borderId="17" xfId="10" applyNumberFormat="1" applyFont="1" applyFill="1" applyBorder="1" applyAlignment="1" applyProtection="1">
      <alignment horizontal="center" vertical="center" wrapText="1"/>
    </xf>
    <xf numFmtId="16" fontId="30" fillId="0" borderId="0" xfId="0" applyNumberFormat="1" applyFont="1" applyFill="1" applyAlignment="1">
      <alignment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right" vertical="center" wrapText="1" indent="1"/>
    </xf>
    <xf numFmtId="0" fontId="28" fillId="0" borderId="1" xfId="0" applyFont="1" applyFill="1" applyBorder="1" applyAlignment="1" applyProtection="1">
      <alignment horizontal="left" vertical="center"/>
    </xf>
    <xf numFmtId="0" fontId="44" fillId="0" borderId="0" xfId="0" applyFont="1" applyFill="1" applyAlignment="1" applyProtection="1">
      <alignment horizontal="right"/>
    </xf>
    <xf numFmtId="49" fontId="1" fillId="0" borderId="21" xfId="1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19" fillId="0" borderId="0" xfId="7"/>
    <xf numFmtId="3" fontId="22" fillId="0" borderId="19" xfId="12" applyNumberFormat="1" applyFont="1" applyFill="1" applyBorder="1" applyAlignment="1">
      <alignment vertical="center" shrinkToFit="1"/>
    </xf>
    <xf numFmtId="0" fontId="19" fillId="0" borderId="0" xfId="7" applyBorder="1"/>
    <xf numFmtId="0" fontId="20" fillId="0" borderId="0" xfId="12" applyFont="1" applyBorder="1" applyAlignment="1">
      <alignment horizontal="center" vertical="center" wrapText="1"/>
    </xf>
    <xf numFmtId="3" fontId="27" fillId="0" borderId="22" xfId="12" applyNumberFormat="1" applyFont="1" applyFill="1" applyBorder="1" applyAlignment="1">
      <alignment vertical="center" shrinkToFit="1"/>
    </xf>
    <xf numFmtId="0" fontId="47" fillId="0" borderId="0" xfId="7" applyFont="1"/>
    <xf numFmtId="0" fontId="4" fillId="0" borderId="23" xfId="0" applyFont="1" applyFill="1" applyBorder="1" applyAlignment="1" applyProtection="1">
      <alignment horizontal="center" vertical="center" wrapText="1"/>
    </xf>
    <xf numFmtId="0" fontId="28" fillId="0" borderId="1" xfId="10" applyFont="1" applyFill="1" applyBorder="1" applyAlignment="1" applyProtection="1">
      <alignment horizontal="left" vertical="center" wrapText="1" indent="1"/>
    </xf>
    <xf numFmtId="0" fontId="30" fillId="0" borderId="0" xfId="10" applyFont="1" applyFill="1" applyProtection="1"/>
    <xf numFmtId="0" fontId="30" fillId="0" borderId="0" xfId="10" applyFont="1" applyFill="1" applyAlignment="1" applyProtection="1">
      <alignment horizontal="right" vertical="center" indent="1"/>
    </xf>
    <xf numFmtId="0" fontId="43" fillId="0" borderId="0" xfId="0" applyFont="1" applyFill="1" applyBorder="1" applyAlignment="1" applyProtection="1">
      <alignment horizontal="right" vertical="center"/>
    </xf>
    <xf numFmtId="0" fontId="13" fillId="0" borderId="0" xfId="10" applyFont="1" applyFill="1" applyBorder="1" applyAlignment="1" applyProtection="1">
      <alignment horizontal="left" vertical="center" wrapText="1" indent="1"/>
    </xf>
    <xf numFmtId="0" fontId="13" fillId="0" borderId="0" xfId="10" applyFont="1" applyFill="1" applyBorder="1" applyAlignment="1" applyProtection="1">
      <alignment vertical="center" wrapText="1"/>
    </xf>
    <xf numFmtId="164" fontId="13" fillId="0" borderId="0" xfId="1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 indent="1"/>
    </xf>
    <xf numFmtId="0" fontId="26" fillId="0" borderId="24" xfId="0" applyFont="1" applyBorder="1" applyAlignment="1" applyProtection="1">
      <alignment horizontal="left" wrapText="1" indent="1"/>
    </xf>
    <xf numFmtId="0" fontId="26" fillId="0" borderId="25" xfId="0" applyFont="1" applyBorder="1" applyAlignment="1" applyProtection="1">
      <alignment horizontal="left" wrapText="1" indent="1"/>
    </xf>
    <xf numFmtId="0" fontId="26" fillId="0" borderId="26" xfId="0" applyFont="1" applyBorder="1" applyAlignment="1" applyProtection="1">
      <alignment horizontal="left" wrapText="1" indent="1"/>
    </xf>
    <xf numFmtId="0" fontId="23" fillId="0" borderId="10" xfId="0" applyFont="1" applyBorder="1" applyAlignment="1" applyProtection="1">
      <alignment horizontal="left" vertical="center" wrapText="1" indent="1"/>
    </xf>
    <xf numFmtId="0" fontId="2" fillId="0" borderId="25" xfId="10" applyFont="1" applyFill="1" applyBorder="1" applyAlignment="1" applyProtection="1">
      <alignment horizontal="left" vertical="center" wrapText="1" indent="8"/>
    </xf>
    <xf numFmtId="0" fontId="2" fillId="0" borderId="26" xfId="10" applyFont="1" applyFill="1" applyBorder="1" applyAlignment="1" applyProtection="1">
      <alignment horizontal="left" vertical="center" wrapText="1" indent="8"/>
    </xf>
    <xf numFmtId="0" fontId="40" fillId="0" borderId="25" xfId="10" applyFont="1" applyFill="1" applyBorder="1" applyAlignment="1" applyProtection="1">
      <alignment horizontal="left" vertical="center" wrapText="1" indent="8"/>
    </xf>
    <xf numFmtId="49" fontId="2" fillId="0" borderId="25" xfId="10" applyNumberFormat="1" applyFont="1" applyFill="1" applyBorder="1" applyAlignment="1" applyProtection="1">
      <alignment horizontal="left" vertical="center" wrapText="1" indent="2"/>
    </xf>
    <xf numFmtId="0" fontId="26" fillId="0" borderId="26" xfId="0" applyFont="1" applyBorder="1" applyAlignment="1" applyProtection="1">
      <alignment horizontal="left" vertical="center" wrapText="1" indent="1"/>
    </xf>
    <xf numFmtId="0" fontId="26" fillId="0" borderId="26" xfId="0" applyFont="1" applyBorder="1" applyAlignment="1" applyProtection="1">
      <alignment wrapText="1"/>
    </xf>
    <xf numFmtId="0" fontId="37" fillId="0" borderId="24" xfId="0" applyFont="1" applyBorder="1" applyAlignment="1" applyProtection="1">
      <alignment horizontal="left" wrapText="1" indent="1"/>
    </xf>
    <xf numFmtId="0" fontId="23" fillId="0" borderId="10" xfId="0" applyFont="1" applyBorder="1" applyAlignment="1" applyProtection="1">
      <alignment wrapText="1"/>
    </xf>
    <xf numFmtId="0" fontId="23" fillId="0" borderId="27" xfId="0" applyFont="1" applyBorder="1" applyAlignment="1" applyProtection="1">
      <alignment wrapText="1"/>
    </xf>
    <xf numFmtId="0" fontId="28" fillId="0" borderId="10" xfId="10" applyFont="1" applyFill="1" applyBorder="1" applyAlignment="1" applyProtection="1">
      <alignment vertical="center" wrapText="1"/>
    </xf>
    <xf numFmtId="0" fontId="1" fillId="0" borderId="28" xfId="10" applyFont="1" applyFill="1" applyBorder="1" applyAlignment="1" applyProtection="1">
      <alignment horizontal="left" vertical="center" wrapText="1" indent="1"/>
    </xf>
    <xf numFmtId="0" fontId="1" fillId="0" borderId="25" xfId="10" applyFont="1" applyFill="1" applyBorder="1" applyAlignment="1" applyProtection="1">
      <alignment horizontal="left" vertical="center" wrapText="1" indent="1"/>
    </xf>
    <xf numFmtId="0" fontId="1" fillId="0" borderId="29" xfId="10" applyFont="1" applyFill="1" applyBorder="1" applyAlignment="1" applyProtection="1">
      <alignment horizontal="left" vertical="center" wrapText="1" indent="1"/>
    </xf>
    <xf numFmtId="0" fontId="1" fillId="0" borderId="25" xfId="10" applyFont="1" applyFill="1" applyBorder="1" applyAlignment="1" applyProtection="1">
      <alignment horizontal="left" vertical="center" wrapText="1" indent="6"/>
    </xf>
    <xf numFmtId="0" fontId="1" fillId="0" borderId="25" xfId="10" applyFont="1" applyFill="1" applyBorder="1" applyAlignment="1" applyProtection="1">
      <alignment horizontal="left" vertical="center" wrapText="1" indent="5"/>
    </xf>
    <xf numFmtId="0" fontId="1" fillId="0" borderId="25" xfId="10" applyFont="1" applyFill="1" applyBorder="1" applyAlignment="1" applyProtection="1">
      <alignment horizontal="left" indent="5"/>
    </xf>
    <xf numFmtId="0" fontId="1" fillId="0" borderId="26" xfId="10" applyFont="1" applyFill="1" applyBorder="1" applyAlignment="1" applyProtection="1">
      <alignment horizontal="left" vertical="center" wrapText="1" indent="5"/>
    </xf>
    <xf numFmtId="0" fontId="1" fillId="0" borderId="26" xfId="10" applyFont="1" applyFill="1" applyBorder="1" applyAlignment="1" applyProtection="1">
      <alignment horizontal="left" vertical="center" wrapText="1" indent="1"/>
    </xf>
    <xf numFmtId="0" fontId="26" fillId="0" borderId="25" xfId="0" applyFont="1" applyBorder="1" applyAlignment="1" applyProtection="1">
      <alignment horizontal="left" vertical="center" wrapText="1" indent="1"/>
    </xf>
    <xf numFmtId="0" fontId="1" fillId="0" borderId="24" xfId="10" applyFont="1" applyFill="1" applyBorder="1" applyAlignment="1" applyProtection="1">
      <alignment horizontal="left" vertical="center" wrapText="1" indent="1"/>
    </xf>
    <xf numFmtId="49" fontId="2" fillId="0" borderId="24" xfId="10" applyNumberFormat="1" applyFont="1" applyFill="1" applyBorder="1" applyAlignment="1" applyProtection="1">
      <alignment horizontal="left" vertical="center" wrapText="1" indent="2"/>
    </xf>
    <xf numFmtId="49" fontId="40" fillId="0" borderId="25" xfId="10" applyNumberFormat="1" applyFont="1" applyFill="1" applyBorder="1" applyAlignment="1" applyProtection="1">
      <alignment horizontal="left" vertical="center" wrapText="1" indent="3"/>
    </xf>
    <xf numFmtId="0" fontId="1" fillId="0" borderId="30" xfId="10" applyFont="1" applyFill="1" applyBorder="1" applyAlignment="1" applyProtection="1">
      <alignment horizontal="left" vertical="center" wrapText="1" indent="1"/>
    </xf>
    <xf numFmtId="0" fontId="23" fillId="0" borderId="27" xfId="0" applyFont="1" applyBorder="1" applyAlignment="1" applyProtection="1">
      <alignment horizontal="left" vertical="center" wrapText="1" indent="1"/>
    </xf>
    <xf numFmtId="0" fontId="26" fillId="0" borderId="14" xfId="12" applyFont="1" applyBorder="1" applyAlignment="1">
      <alignment horizontal="center" vertical="center" wrapText="1"/>
    </xf>
    <xf numFmtId="0" fontId="26" fillId="0" borderId="15" xfId="12" applyFont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3" fontId="26" fillId="0" borderId="4" xfId="12" applyNumberFormat="1" applyFont="1" applyFill="1" applyBorder="1" applyAlignment="1">
      <alignment horizontal="right" shrinkToFit="1"/>
    </xf>
    <xf numFmtId="3" fontId="26" fillId="0" borderId="3" xfId="12" applyNumberFormat="1" applyFont="1" applyFill="1" applyBorder="1" applyAlignment="1">
      <alignment horizontal="right" shrinkToFit="1"/>
    </xf>
    <xf numFmtId="3" fontId="26" fillId="0" borderId="5" xfId="12" applyNumberFormat="1" applyFont="1" applyFill="1" applyBorder="1" applyAlignment="1">
      <alignment horizontal="right" shrinkToFit="1"/>
    </xf>
    <xf numFmtId="3" fontId="23" fillId="0" borderId="3" xfId="12" applyNumberFormat="1" applyFont="1" applyFill="1" applyBorder="1" applyAlignment="1">
      <alignment horizontal="right" shrinkToFit="1"/>
    </xf>
    <xf numFmtId="3" fontId="23" fillId="0" borderId="5" xfId="12" applyNumberFormat="1" applyFont="1" applyFill="1" applyBorder="1" applyAlignment="1">
      <alignment horizontal="right" shrinkToFit="1"/>
    </xf>
    <xf numFmtId="3" fontId="31" fillId="6" borderId="2" xfId="0" applyNumberFormat="1" applyFont="1" applyFill="1" applyBorder="1" applyAlignment="1">
      <alignment horizontal="right" wrapText="1"/>
    </xf>
    <xf numFmtId="3" fontId="31" fillId="6" borderId="19" xfId="0" applyNumberFormat="1" applyFont="1" applyFill="1" applyBorder="1" applyAlignment="1">
      <alignment horizontal="right" wrapText="1"/>
    </xf>
    <xf numFmtId="0" fontId="26" fillId="0" borderId="3" xfId="12" applyFont="1" applyBorder="1" applyAlignment="1">
      <alignment horizontal="right"/>
    </xf>
    <xf numFmtId="3" fontId="31" fillId="0" borderId="5" xfId="0" applyNumberFormat="1" applyFont="1" applyFill="1" applyBorder="1" applyAlignment="1">
      <alignment horizontal="right" wrapText="1"/>
    </xf>
    <xf numFmtId="0" fontId="27" fillId="0" borderId="0" xfId="0" applyFont="1" applyAlignment="1" applyProtection="1">
      <alignment horizontal="right" vertical="top"/>
      <protection locked="0"/>
    </xf>
    <xf numFmtId="0" fontId="8" fillId="0" borderId="0" xfId="0" applyFont="1" applyFill="1" applyAlignment="1" applyProtection="1">
      <alignment horizontal="right" vertical="center" wrapText="1" indent="1"/>
    </xf>
    <xf numFmtId="0" fontId="37" fillId="0" borderId="25" xfId="0" applyFont="1" applyBorder="1" applyAlignment="1" applyProtection="1">
      <alignment horizontal="left" wrapText="1" indent="1"/>
    </xf>
    <xf numFmtId="0" fontId="13" fillId="0" borderId="31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26" fillId="0" borderId="3" xfId="0" quotePrefix="1" applyFont="1" applyBorder="1" applyAlignment="1" applyProtection="1">
      <alignment horizontal="left" vertical="center" wrapText="1" indent="2"/>
    </xf>
    <xf numFmtId="0" fontId="8" fillId="0" borderId="33" xfId="10" applyFont="1" applyFill="1" applyBorder="1" applyAlignment="1" applyProtection="1">
      <alignment horizontal="left" vertical="center" wrapText="1" indent="1"/>
    </xf>
    <xf numFmtId="0" fontId="32" fillId="7" borderId="1" xfId="12" applyFont="1" applyFill="1" applyBorder="1" applyAlignment="1">
      <alignment horizontal="center"/>
    </xf>
    <xf numFmtId="3" fontId="32" fillId="7" borderId="2" xfId="12" applyNumberFormat="1" applyFont="1" applyFill="1" applyBorder="1" applyAlignment="1">
      <alignment horizontal="right" shrinkToFit="1"/>
    </xf>
    <xf numFmtId="3" fontId="32" fillId="7" borderId="19" xfId="12" applyNumberFormat="1" applyFont="1" applyFill="1" applyBorder="1" applyAlignment="1">
      <alignment horizontal="right" shrinkToFit="1"/>
    </xf>
    <xf numFmtId="164" fontId="1" fillId="0" borderId="3" xfId="10" applyNumberFormat="1" applyFont="1" applyFill="1" applyBorder="1" applyAlignment="1" applyProtection="1">
      <alignment vertical="center" wrapText="1"/>
      <protection locked="0"/>
    </xf>
    <xf numFmtId="164" fontId="30" fillId="0" borderId="3" xfId="10" applyNumberFormat="1" applyFont="1" applyFill="1" applyBorder="1" applyAlignment="1" applyProtection="1">
      <alignment vertical="center" wrapText="1"/>
      <protection locked="0"/>
    </xf>
    <xf numFmtId="164" fontId="38" fillId="0" borderId="3" xfId="10" applyNumberFormat="1" applyFont="1" applyFill="1" applyBorder="1" applyAlignment="1" applyProtection="1">
      <alignment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</xf>
    <xf numFmtId="0" fontId="8" fillId="0" borderId="0" xfId="10" applyFont="1" applyFill="1" applyProtection="1"/>
    <xf numFmtId="0" fontId="8" fillId="0" borderId="0" xfId="10" applyFont="1" applyFill="1" applyAlignment="1" applyProtection="1">
      <alignment horizontal="right" vertical="center" inden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0" fontId="1" fillId="0" borderId="2" xfId="10" applyFont="1" applyFill="1" applyBorder="1" applyAlignment="1" applyProtection="1">
      <alignment horizontal="left" vertical="center" wrapText="1" indent="1"/>
    </xf>
    <xf numFmtId="49" fontId="37" fillId="0" borderId="34" xfId="0" applyNumberFormat="1" applyFont="1" applyBorder="1" applyAlignment="1" applyProtection="1">
      <alignment horizontal="center" vertical="center" wrapText="1"/>
    </xf>
    <xf numFmtId="0" fontId="37" fillId="0" borderId="35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22" fillId="0" borderId="36" xfId="12" applyFont="1" applyBorder="1" applyAlignment="1">
      <alignment horizontal="center" vertical="center" wrapText="1"/>
    </xf>
    <xf numFmtId="0" fontId="22" fillId="0" borderId="37" xfId="12" applyFont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26" fillId="0" borderId="28" xfId="0" applyFont="1" applyBorder="1" applyAlignment="1" applyProtection="1">
      <alignment horizontal="left" wrapText="1" indent="1"/>
    </xf>
    <xf numFmtId="49" fontId="1" fillId="0" borderId="34" xfId="10" applyNumberFormat="1" applyFont="1" applyFill="1" applyBorder="1" applyAlignment="1" applyProtection="1">
      <alignment horizontal="center" vertical="center" wrapText="1"/>
    </xf>
    <xf numFmtId="0" fontId="2" fillId="0" borderId="38" xfId="10" applyFont="1" applyFill="1" applyBorder="1" applyAlignment="1" applyProtection="1">
      <alignment horizontal="left" vertical="center" wrapText="1" indent="8"/>
    </xf>
    <xf numFmtId="0" fontId="28" fillId="0" borderId="20" xfId="1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6" fillId="0" borderId="38" xfId="0" applyFont="1" applyBorder="1" applyAlignment="1" applyProtection="1">
      <alignment horizontal="left" wrapText="1" inden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0" fillId="0" borderId="3" xfId="0" applyFill="1" applyBorder="1" applyAlignment="1" applyProtection="1">
      <alignment vertical="center" wrapText="1"/>
    </xf>
    <xf numFmtId="164" fontId="2" fillId="0" borderId="25" xfId="0" applyNumberFormat="1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8" fillId="0" borderId="7" xfId="10" applyFont="1" applyFill="1" applyBorder="1" applyAlignment="1" applyProtection="1">
      <alignment horizontal="left" vertical="center" wrapText="1" indent="1"/>
    </xf>
    <xf numFmtId="49" fontId="8" fillId="0" borderId="3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wrapText="1"/>
    </xf>
    <xf numFmtId="164" fontId="4" fillId="0" borderId="10" xfId="0" applyNumberFormat="1" applyFont="1" applyFill="1" applyBorder="1" applyAlignment="1" applyProtection="1">
      <alignment vertical="center" wrapText="1"/>
    </xf>
    <xf numFmtId="0" fontId="2" fillId="0" borderId="5" xfId="10" applyFont="1" applyFill="1" applyBorder="1" applyAlignment="1" applyProtection="1">
      <alignment horizontal="left" vertical="center" wrapText="1" indent="1"/>
    </xf>
    <xf numFmtId="0" fontId="0" fillId="0" borderId="5" xfId="0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" fillId="0" borderId="25" xfId="10" applyFont="1" applyFill="1" applyBorder="1" applyAlignment="1" applyProtection="1">
      <alignment horizontal="left" vertical="center" wrapText="1" indent="1"/>
    </xf>
    <xf numFmtId="164" fontId="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8" xfId="10" applyFont="1" applyFill="1" applyBorder="1" applyAlignment="1" applyProtection="1">
      <alignment horizontal="left" vertical="center" wrapText="1" indent="1"/>
    </xf>
    <xf numFmtId="164" fontId="4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Fill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8" xfId="0" applyFont="1" applyFill="1" applyBorder="1" applyAlignment="1" applyProtection="1">
      <alignment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</xf>
    <xf numFmtId="164" fontId="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164" fontId="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9" xfId="0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2" xfId="0" applyFont="1" applyBorder="1" applyAlignment="1" applyProtection="1">
      <alignment horizontal="left" wrapText="1" indent="1"/>
    </xf>
    <xf numFmtId="0" fontId="2" fillId="0" borderId="0" xfId="0" applyFont="1" applyFill="1" applyBorder="1" applyAlignment="1" applyProtection="1">
      <alignment horizontal="right" vertical="center" wrapText="1" indent="1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4" fontId="4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9" xfId="10" applyFont="1" applyFill="1" applyBorder="1" applyAlignment="1" applyProtection="1">
      <alignment horizontal="left" vertical="center" wrapText="1" indent="1"/>
    </xf>
    <xf numFmtId="0" fontId="0" fillId="0" borderId="35" xfId="0" applyFill="1" applyBorder="1" applyAlignment="1" applyProtection="1">
      <alignment vertical="center" wrapText="1"/>
    </xf>
    <xf numFmtId="164" fontId="4" fillId="0" borderId="10" xfId="0" applyNumberFormat="1" applyFont="1" applyFill="1" applyBorder="1" applyAlignment="1" applyProtection="1">
      <alignment wrapText="1"/>
    </xf>
    <xf numFmtId="164" fontId="2" fillId="0" borderId="24" xfId="0" applyNumberFormat="1" applyFont="1" applyFill="1" applyBorder="1" applyAlignment="1" applyProtection="1">
      <alignment wrapText="1"/>
      <protection locked="0"/>
    </xf>
    <xf numFmtId="164" fontId="15" fillId="0" borderId="10" xfId="0" applyNumberFormat="1" applyFont="1" applyFill="1" applyBorder="1" applyAlignment="1" applyProtection="1">
      <alignment horizontal="right" wrapText="1"/>
    </xf>
    <xf numFmtId="164" fontId="15" fillId="0" borderId="2" xfId="0" applyNumberFormat="1" applyFont="1" applyFill="1" applyBorder="1" applyAlignment="1" applyProtection="1">
      <alignment horizontal="right" wrapText="1"/>
    </xf>
    <xf numFmtId="164" fontId="15" fillId="0" borderId="19" xfId="0" applyNumberFormat="1" applyFont="1" applyFill="1" applyBorder="1" applyAlignment="1" applyProtection="1">
      <alignment horizontal="right" wrapText="1"/>
    </xf>
    <xf numFmtId="164" fontId="2" fillId="0" borderId="24" xfId="0" applyNumberFormat="1" applyFont="1" applyFill="1" applyBorder="1" applyAlignment="1" applyProtection="1">
      <alignment horizontal="right" wrapText="1"/>
      <protection locked="0"/>
    </xf>
    <xf numFmtId="0" fontId="7" fillId="0" borderId="4" xfId="0" applyFont="1" applyFill="1" applyBorder="1" applyAlignment="1" applyProtection="1">
      <alignment horizontal="right" wrapText="1"/>
    </xf>
    <xf numFmtId="164" fontId="2" fillId="0" borderId="25" xfId="0" applyNumberFormat="1" applyFont="1" applyFill="1" applyBorder="1" applyAlignment="1" applyProtection="1">
      <alignment horizontal="right" wrapText="1"/>
      <protection locked="0"/>
    </xf>
    <xf numFmtId="164" fontId="40" fillId="0" borderId="25" xfId="0" applyNumberFormat="1" applyFont="1" applyFill="1" applyBorder="1" applyAlignment="1" applyProtection="1">
      <alignment horizontal="right" wrapText="1"/>
      <protection locked="0"/>
    </xf>
    <xf numFmtId="0" fontId="7" fillId="0" borderId="3" xfId="0" applyFont="1" applyFill="1" applyBorder="1" applyAlignment="1" applyProtection="1">
      <alignment horizontal="right" wrapText="1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0" fontId="1" fillId="0" borderId="3" xfId="0" applyFont="1" applyFill="1" applyBorder="1" applyAlignment="1" applyProtection="1">
      <alignment horizontal="right" wrapText="1"/>
    </xf>
    <xf numFmtId="164" fontId="2" fillId="0" borderId="26" xfId="0" applyNumberFormat="1" applyFont="1" applyFill="1" applyBorder="1" applyAlignment="1" applyProtection="1">
      <alignment horizontal="right" wrapText="1"/>
      <protection locked="0"/>
    </xf>
    <xf numFmtId="164" fontId="15" fillId="0" borderId="10" xfId="0" applyNumberFormat="1" applyFont="1" applyFill="1" applyBorder="1" applyAlignment="1" applyProtection="1">
      <alignment horizontal="right" wrapText="1"/>
      <protection locked="0"/>
    </xf>
    <xf numFmtId="164" fontId="8" fillId="0" borderId="24" xfId="0" applyNumberFormat="1" applyFont="1" applyFill="1" applyBorder="1" applyAlignment="1" applyProtection="1">
      <alignment horizontal="right" wrapText="1"/>
      <protection locked="0"/>
    </xf>
    <xf numFmtId="164" fontId="40" fillId="0" borderId="30" xfId="0" applyNumberFormat="1" applyFont="1" applyFill="1" applyBorder="1" applyAlignment="1" applyProtection="1">
      <alignment horizontal="right" wrapText="1"/>
      <protection locked="0"/>
    </xf>
    <xf numFmtId="164" fontId="8" fillId="0" borderId="25" xfId="0" applyNumberFormat="1" applyFont="1" applyFill="1" applyBorder="1" applyAlignment="1" applyProtection="1">
      <alignment horizontal="right" wrapText="1"/>
      <protection locked="0"/>
    </xf>
    <xf numFmtId="164" fontId="8" fillId="0" borderId="30" xfId="0" applyNumberFormat="1" applyFont="1" applyFill="1" applyBorder="1" applyAlignment="1" applyProtection="1">
      <alignment horizontal="right" wrapText="1"/>
      <protection locked="0"/>
    </xf>
    <xf numFmtId="164" fontId="15" fillId="0" borderId="41" xfId="0" applyNumberFormat="1" applyFont="1" applyFill="1" applyBorder="1" applyAlignment="1" applyProtection="1">
      <alignment horizontal="right" wrapText="1"/>
    </xf>
    <xf numFmtId="0" fontId="1" fillId="0" borderId="5" xfId="0" applyFon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right" wrapText="1"/>
    </xf>
    <xf numFmtId="164" fontId="15" fillId="0" borderId="43" xfId="0" applyNumberFormat="1" applyFont="1" applyFill="1" applyBorder="1" applyAlignment="1" applyProtection="1">
      <alignment horizontal="right" wrapText="1"/>
      <protection locked="0"/>
    </xf>
    <xf numFmtId="0" fontId="7" fillId="0" borderId="2" xfId="0" applyFont="1" applyFill="1" applyBorder="1" applyAlignment="1" applyProtection="1">
      <alignment horizontal="right" wrapText="1"/>
    </xf>
    <xf numFmtId="0" fontId="0" fillId="0" borderId="9" xfId="0" applyFill="1" applyBorder="1" applyAlignment="1" applyProtection="1">
      <alignment vertical="center" wrapText="1"/>
    </xf>
    <xf numFmtId="0" fontId="21" fillId="0" borderId="0" xfId="12" applyFont="1" applyAlignment="1">
      <alignment horizontal="center" textRotation="90"/>
    </xf>
    <xf numFmtId="0" fontId="36" fillId="0" borderId="11" xfId="0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Fill="1" applyBorder="1" applyAlignment="1" applyProtection="1">
      <alignment horizontal="right" wrapText="1"/>
    </xf>
    <xf numFmtId="0" fontId="2" fillId="0" borderId="35" xfId="10" applyFont="1" applyFill="1" applyBorder="1" applyAlignment="1" applyProtection="1">
      <alignment horizontal="left" vertical="center" wrapText="1" indent="8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0" fontId="1" fillId="0" borderId="35" xfId="0" applyFont="1" applyFill="1" applyBorder="1" applyAlignment="1" applyProtection="1">
      <alignment horizontal="right" wrapText="1"/>
    </xf>
    <xf numFmtId="164" fontId="8" fillId="0" borderId="28" xfId="0" applyNumberFormat="1" applyFont="1" applyFill="1" applyBorder="1" applyAlignment="1" applyProtection="1">
      <alignment horizontal="right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9" fontId="40" fillId="0" borderId="16" xfId="0" applyNumberFormat="1" applyFont="1" applyFill="1" applyBorder="1" applyAlignment="1" applyProtection="1">
      <alignment horizontal="center" vertical="center" wrapText="1"/>
    </xf>
    <xf numFmtId="0" fontId="40" fillId="0" borderId="8" xfId="10" applyFont="1" applyFill="1" applyBorder="1" applyAlignment="1" applyProtection="1">
      <alignment horizontal="left" vertical="center" wrapText="1" indent="1"/>
    </xf>
    <xf numFmtId="49" fontId="40" fillId="0" borderId="14" xfId="0" applyNumberFormat="1" applyFont="1" applyFill="1" applyBorder="1" applyAlignment="1" applyProtection="1">
      <alignment horizontal="center" vertical="center" wrapText="1"/>
    </xf>
    <xf numFmtId="0" fontId="40" fillId="0" borderId="3" xfId="10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0" fontId="4" fillId="0" borderId="11" xfId="10" applyFont="1" applyFill="1" applyBorder="1" applyAlignment="1" applyProtection="1">
      <alignment horizontal="left" vertical="center" wrapText="1" indent="1"/>
    </xf>
    <xf numFmtId="0" fontId="2" fillId="0" borderId="21" xfId="10" applyFont="1" applyFill="1" applyBorder="1" applyAlignment="1" applyProtection="1">
      <alignment horizontal="left" vertical="center" wrapText="1" indent="1"/>
    </xf>
    <xf numFmtId="0" fontId="2" fillId="0" borderId="44" xfId="10" applyFont="1" applyFill="1" applyBorder="1" applyAlignment="1" applyProtection="1">
      <alignment horizontal="left" vertical="center" wrapText="1" indent="1"/>
    </xf>
    <xf numFmtId="0" fontId="26" fillId="0" borderId="25" xfId="0" quotePrefix="1" applyFont="1" applyBorder="1" applyAlignment="1" applyProtection="1">
      <alignment horizontal="left" vertical="center" wrapText="1" indent="2"/>
    </xf>
    <xf numFmtId="164" fontId="1" fillId="0" borderId="4" xfId="10" applyNumberFormat="1" applyFont="1" applyFill="1" applyBorder="1" applyAlignment="1" applyProtection="1">
      <alignment vertical="center" wrapText="1"/>
      <protection locked="0"/>
    </xf>
    <xf numFmtId="164" fontId="28" fillId="0" borderId="2" xfId="10" applyNumberFormat="1" applyFont="1" applyFill="1" applyBorder="1" applyAlignment="1" applyProtection="1">
      <alignment vertical="center" wrapText="1"/>
    </xf>
    <xf numFmtId="164" fontId="31" fillId="0" borderId="2" xfId="10" applyNumberFormat="1" applyFont="1" applyFill="1" applyBorder="1" applyAlignment="1" applyProtection="1">
      <alignment vertical="center" wrapText="1"/>
    </xf>
    <xf numFmtId="49" fontId="2" fillId="0" borderId="26" xfId="10" applyNumberFormat="1" applyFont="1" applyFill="1" applyBorder="1" applyAlignment="1" applyProtection="1">
      <alignment horizontal="left" vertical="center" wrapText="1" indent="2"/>
    </xf>
    <xf numFmtId="164" fontId="28" fillId="0" borderId="2" xfId="10" applyNumberFormat="1" applyFont="1" applyFill="1" applyBorder="1" applyAlignment="1" applyProtection="1">
      <alignment horizontal="right" vertical="center" wrapText="1" indent="1"/>
    </xf>
    <xf numFmtId="0" fontId="13" fillId="0" borderId="11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wrapText="1"/>
    </xf>
    <xf numFmtId="164" fontId="31" fillId="0" borderId="0" xfId="10" applyNumberFormat="1" applyFont="1" applyFill="1" applyBorder="1" applyAlignment="1" applyProtection="1">
      <alignment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3" fontId="30" fillId="0" borderId="3" xfId="0" applyNumberFormat="1" applyFont="1" applyFill="1" applyBorder="1" applyAlignment="1">
      <alignment vertical="center" wrapText="1"/>
    </xf>
    <xf numFmtId="164" fontId="1" fillId="0" borderId="3" xfId="1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" xfId="0" applyFont="1" applyFill="1" applyBorder="1" applyAlignment="1">
      <alignment vertical="center" wrapText="1"/>
    </xf>
    <xf numFmtId="49" fontId="40" fillId="0" borderId="26" xfId="10" applyNumberFormat="1" applyFont="1" applyFill="1" applyBorder="1" applyAlignment="1" applyProtection="1">
      <alignment horizontal="left" vertical="center" wrapText="1" indent="3"/>
    </xf>
    <xf numFmtId="164" fontId="1" fillId="0" borderId="5" xfId="1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" xfId="1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" xfId="1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Border="1" applyAlignment="1" applyProtection="1">
      <alignment horizontal="right" vertical="center" wrapText="1" inden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164" fontId="1" fillId="0" borderId="4" xfId="10" applyNumberFormat="1" applyFont="1" applyFill="1" applyBorder="1" applyAlignment="1" applyProtection="1">
      <alignment horizontal="right" vertical="center" wrapText="1" indent="1"/>
    </xf>
    <xf numFmtId="0" fontId="23" fillId="0" borderId="42" xfId="0" applyFont="1" applyBorder="1" applyAlignment="1" applyProtection="1">
      <alignment horizontal="center" wrapText="1"/>
    </xf>
    <xf numFmtId="164" fontId="31" fillId="0" borderId="0" xfId="10" applyNumberFormat="1" applyFont="1" applyFill="1" applyBorder="1" applyAlignment="1" applyProtection="1">
      <alignment horizontal="right" vertical="center" wrapText="1" indent="1"/>
    </xf>
    <xf numFmtId="164" fontId="28" fillId="0" borderId="10" xfId="10" applyNumberFormat="1" applyFont="1" applyFill="1" applyBorder="1" applyAlignment="1" applyProtection="1">
      <alignment horizontal="right" vertical="center" wrapText="1" inden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26" fillId="0" borderId="22" xfId="0" quotePrefix="1" applyFont="1" applyBorder="1" applyAlignment="1" applyProtection="1">
      <alignment horizontal="left" vertical="center" wrapText="1" indent="2"/>
    </xf>
    <xf numFmtId="0" fontId="13" fillId="0" borderId="3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164" fontId="28" fillId="0" borderId="11" xfId="10" applyNumberFormat="1" applyFont="1" applyFill="1" applyBorder="1" applyAlignment="1" applyProtection="1">
      <alignment wrapText="1"/>
    </xf>
    <xf numFmtId="164" fontId="1" fillId="0" borderId="21" xfId="10" applyNumberFormat="1" applyFont="1" applyFill="1" applyBorder="1" applyAlignment="1" applyProtection="1">
      <alignment wrapText="1"/>
      <protection locked="0"/>
    </xf>
    <xf numFmtId="164" fontId="1" fillId="0" borderId="44" xfId="10" applyNumberFormat="1" applyFont="1" applyFill="1" applyBorder="1" applyAlignment="1" applyProtection="1">
      <alignment wrapText="1"/>
      <protection locked="0"/>
    </xf>
    <xf numFmtId="164" fontId="1" fillId="0" borderId="48" xfId="10" applyNumberFormat="1" applyFont="1" applyFill="1" applyBorder="1" applyAlignment="1" applyProtection="1">
      <alignment wrapText="1"/>
      <protection locked="0"/>
    </xf>
    <xf numFmtId="164" fontId="1" fillId="0" borderId="42" xfId="10" applyNumberFormat="1" applyFont="1" applyFill="1" applyBorder="1" applyAlignment="1" applyProtection="1">
      <alignment wrapText="1"/>
      <protection locked="0"/>
    </xf>
    <xf numFmtId="164" fontId="31" fillId="0" borderId="11" xfId="10" applyNumberFormat="1" applyFont="1" applyFill="1" applyBorder="1" applyAlignment="1" applyProtection="1">
      <alignment wrapText="1"/>
    </xf>
    <xf numFmtId="164" fontId="1" fillId="0" borderId="21" xfId="10" applyNumberFormat="1" applyFont="1" applyFill="1" applyBorder="1" applyAlignment="1" applyProtection="1">
      <alignment wrapText="1"/>
    </xf>
    <xf numFmtId="164" fontId="38" fillId="0" borderId="44" xfId="10" applyNumberFormat="1" applyFont="1" applyFill="1" applyBorder="1" applyAlignment="1" applyProtection="1">
      <alignment wrapText="1"/>
      <protection locked="0"/>
    </xf>
    <xf numFmtId="164" fontId="30" fillId="0" borderId="44" xfId="10" applyNumberFormat="1" applyFont="1" applyFill="1" applyBorder="1" applyAlignment="1" applyProtection="1">
      <alignment wrapText="1"/>
      <protection locked="0"/>
    </xf>
    <xf numFmtId="164" fontId="30" fillId="0" borderId="21" xfId="10" applyNumberFormat="1" applyFont="1" applyFill="1" applyBorder="1" applyAlignment="1" applyProtection="1">
      <alignment wrapText="1"/>
      <protection locked="0"/>
    </xf>
    <xf numFmtId="164" fontId="30" fillId="0" borderId="42" xfId="10" applyNumberFormat="1" applyFont="1" applyFill="1" applyBorder="1" applyAlignment="1" applyProtection="1">
      <alignment wrapText="1"/>
      <protection locked="0"/>
    </xf>
    <xf numFmtId="164" fontId="28" fillId="0" borderId="11" xfId="10" applyNumberFormat="1" applyFont="1" applyFill="1" applyBorder="1" applyAlignment="1" applyProtection="1">
      <alignment wrapText="1"/>
      <protection locked="0"/>
    </xf>
    <xf numFmtId="164" fontId="8" fillId="0" borderId="3" xfId="0" applyNumberFormat="1" applyFont="1" applyFill="1" applyBorder="1" applyAlignment="1" applyProtection="1">
      <alignment wrapText="1"/>
      <protection locked="0"/>
    </xf>
    <xf numFmtId="164" fontId="15" fillId="0" borderId="10" xfId="0" applyNumberFormat="1" applyFont="1" applyFill="1" applyBorder="1" applyAlignment="1" applyProtection="1">
      <alignment wrapText="1"/>
    </xf>
    <xf numFmtId="164" fontId="15" fillId="0" borderId="19" xfId="0" applyNumberFormat="1" applyFont="1" applyFill="1" applyBorder="1" applyAlignment="1" applyProtection="1">
      <alignment wrapText="1"/>
    </xf>
    <xf numFmtId="164" fontId="15" fillId="0" borderId="2" xfId="0" applyNumberFormat="1" applyFont="1" applyFill="1" applyBorder="1" applyAlignment="1" applyProtection="1">
      <alignment wrapText="1"/>
    </xf>
    <xf numFmtId="0" fontId="4" fillId="0" borderId="49" xfId="0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 applyProtection="1">
      <alignment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wrapText="1"/>
    </xf>
    <xf numFmtId="164" fontId="2" fillId="0" borderId="3" xfId="0" applyNumberFormat="1" applyFont="1" applyFill="1" applyBorder="1" applyAlignment="1" applyProtection="1">
      <alignment vertical="center" wrapText="1"/>
      <protection locked="0"/>
    </xf>
    <xf numFmtId="164" fontId="40" fillId="0" borderId="3" xfId="0" applyNumberFormat="1" applyFont="1" applyFill="1" applyBorder="1" applyAlignment="1" applyProtection="1">
      <alignment vertical="center" wrapText="1"/>
      <protection locked="0"/>
    </xf>
    <xf numFmtId="164" fontId="1" fillId="0" borderId="25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wrapText="1"/>
    </xf>
    <xf numFmtId="164" fontId="2" fillId="0" borderId="14" xfId="0" applyNumberFormat="1" applyFont="1" applyFill="1" applyBorder="1" applyAlignment="1" applyProtection="1">
      <alignment wrapText="1"/>
      <protection locked="0"/>
    </xf>
    <xf numFmtId="164" fontId="2" fillId="0" borderId="16" xfId="0" applyNumberFormat="1" applyFont="1" applyFill="1" applyBorder="1" applyAlignment="1" applyProtection="1">
      <alignment wrapText="1"/>
      <protection locked="0"/>
    </xf>
    <xf numFmtId="164" fontId="2" fillId="0" borderId="7" xfId="0" applyNumberFormat="1" applyFont="1" applyFill="1" applyBorder="1" applyAlignment="1" applyProtection="1">
      <alignment vertical="center" wrapText="1"/>
      <protection locked="0"/>
    </xf>
    <xf numFmtId="164" fontId="2" fillId="0" borderId="38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 applyProtection="1">
      <alignment horizontal="right" vertical="center" wrapText="1"/>
    </xf>
    <xf numFmtId="164" fontId="40" fillId="0" borderId="3" xfId="0" applyNumberFormat="1" applyFont="1" applyFill="1" applyBorder="1" applyAlignment="1" applyProtection="1">
      <alignment wrapText="1"/>
      <protection locked="0"/>
    </xf>
    <xf numFmtId="0" fontId="51" fillId="0" borderId="0" xfId="7" applyFont="1" applyBorder="1" applyAlignment="1">
      <alignment horizontal="center" vertical="center"/>
    </xf>
    <xf numFmtId="0" fontId="27" fillId="2" borderId="14" xfId="12" applyFont="1" applyFill="1" applyBorder="1" applyAlignment="1">
      <alignment horizontal="center" vertical="center" wrapText="1"/>
    </xf>
    <xf numFmtId="0" fontId="27" fillId="0" borderId="14" xfId="12" applyFont="1" applyBorder="1" applyAlignment="1">
      <alignment horizontal="center" vertical="center" wrapText="1"/>
    </xf>
    <xf numFmtId="0" fontId="27" fillId="0" borderId="3" xfId="12" applyFont="1" applyFill="1" applyBorder="1" applyAlignment="1">
      <alignment vertical="center" wrapText="1"/>
    </xf>
    <xf numFmtId="0" fontId="27" fillId="0" borderId="3" xfId="7" applyFont="1" applyFill="1" applyBorder="1" applyAlignment="1">
      <alignment horizontal="left"/>
    </xf>
    <xf numFmtId="0" fontId="22" fillId="0" borderId="1" xfId="12" applyFont="1" applyBorder="1" applyAlignment="1">
      <alignment horizontal="center" vertical="center" wrapText="1"/>
    </xf>
    <xf numFmtId="0" fontId="27" fillId="2" borderId="15" xfId="12" applyFont="1" applyFill="1" applyBorder="1" applyAlignment="1">
      <alignment horizontal="center" vertical="center" wrapText="1"/>
    </xf>
    <xf numFmtId="0" fontId="27" fillId="2" borderId="4" xfId="12" applyFont="1" applyFill="1" applyBorder="1" applyAlignment="1">
      <alignment horizontal="left" vertical="center" wrapText="1"/>
    </xf>
    <xf numFmtId="3" fontId="27" fillId="0" borderId="39" xfId="12" applyNumberFormat="1" applyFont="1" applyFill="1" applyBorder="1" applyAlignment="1">
      <alignment vertical="center" shrinkToFit="1"/>
    </xf>
    <xf numFmtId="0" fontId="22" fillId="2" borderId="1" xfId="12" applyFont="1" applyFill="1" applyBorder="1" applyAlignment="1">
      <alignment horizontal="center" vertical="center" wrapText="1"/>
    </xf>
    <xf numFmtId="0" fontId="22" fillId="2" borderId="2" xfId="12" applyFont="1" applyFill="1" applyBorder="1" applyAlignment="1">
      <alignment horizontal="center" vertical="center" wrapText="1"/>
    </xf>
    <xf numFmtId="0" fontId="27" fillId="0" borderId="16" xfId="12" applyFont="1" applyBorder="1" applyAlignment="1">
      <alignment horizontal="center" vertical="center" wrapText="1"/>
    </xf>
    <xf numFmtId="0" fontId="27" fillId="0" borderId="5" xfId="12" applyFont="1" applyFill="1" applyBorder="1" applyAlignment="1">
      <alignment vertical="center" wrapText="1"/>
    </xf>
    <xf numFmtId="3" fontId="27" fillId="0" borderId="40" xfId="12" applyNumberFormat="1" applyFont="1" applyFill="1" applyBorder="1" applyAlignment="1">
      <alignment vertical="center" shrinkToFit="1"/>
    </xf>
    <xf numFmtId="0" fontId="27" fillId="0" borderId="15" xfId="12" applyFont="1" applyBorder="1" applyAlignment="1">
      <alignment horizontal="center" vertical="center" wrapText="1"/>
    </xf>
    <xf numFmtId="0" fontId="27" fillId="0" borderId="4" xfId="12" applyFont="1" applyFill="1" applyBorder="1" applyAlignment="1">
      <alignment vertical="center" wrapText="1"/>
    </xf>
    <xf numFmtId="0" fontId="23" fillId="6" borderId="1" xfId="12" applyFont="1" applyFill="1" applyBorder="1" applyAlignment="1">
      <alignment horizontal="center" wrapText="1"/>
    </xf>
    <xf numFmtId="0" fontId="52" fillId="2" borderId="1" xfId="12" applyFont="1" applyFill="1" applyBorder="1" applyAlignment="1">
      <alignment horizontal="center" vertical="center" wrapText="1"/>
    </xf>
    <xf numFmtId="0" fontId="52" fillId="0" borderId="0" xfId="12" applyFont="1" applyAlignment="1">
      <alignment horizont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53" fillId="0" borderId="0" xfId="0" applyNumberFormat="1" applyFon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wrapText="1"/>
    </xf>
    <xf numFmtId="164" fontId="8" fillId="0" borderId="7" xfId="0" applyNumberFormat="1" applyFont="1" applyFill="1" applyBorder="1" applyAlignment="1" applyProtection="1">
      <alignment wrapText="1"/>
      <protection locked="0"/>
    </xf>
    <xf numFmtId="164" fontId="30" fillId="0" borderId="0" xfId="0" applyNumberFormat="1" applyFont="1" applyFill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horizontal="left" wrapText="1"/>
    </xf>
    <xf numFmtId="164" fontId="8" fillId="0" borderId="50" xfId="0" applyNumberFormat="1" applyFont="1" applyFill="1" applyBorder="1" applyAlignment="1" applyProtection="1">
      <alignment wrapText="1"/>
      <protection locked="0"/>
    </xf>
    <xf numFmtId="164" fontId="8" fillId="0" borderId="25" xfId="0" applyNumberFormat="1" applyFont="1" applyFill="1" applyBorder="1" applyAlignment="1" applyProtection="1">
      <alignment wrapText="1"/>
      <protection locked="0"/>
    </xf>
    <xf numFmtId="164" fontId="8" fillId="0" borderId="4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vertical="center" wrapText="1"/>
      <protection locked="0"/>
    </xf>
    <xf numFmtId="164" fontId="8" fillId="0" borderId="50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 indent="1"/>
    </xf>
    <xf numFmtId="164" fontId="8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35" xfId="0" applyNumberFormat="1" applyFont="1" applyFill="1" applyBorder="1" applyAlignment="1" applyProtection="1">
      <alignment vertical="center" wrapText="1"/>
      <protection locked="0"/>
    </xf>
    <xf numFmtId="164" fontId="8" fillId="0" borderId="51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horizontal="left" wrapText="1"/>
    </xf>
    <xf numFmtId="164" fontId="15" fillId="0" borderId="9" xfId="0" applyNumberFormat="1" applyFont="1" applyFill="1" applyBorder="1" applyAlignment="1" applyProtection="1">
      <alignment wrapText="1"/>
    </xf>
    <xf numFmtId="164" fontId="15" fillId="0" borderId="1" xfId="0" applyNumberFormat="1" applyFont="1" applyFill="1" applyBorder="1" applyAlignment="1" applyProtection="1">
      <alignment horizontal="left" wrapText="1"/>
    </xf>
    <xf numFmtId="164" fontId="8" fillId="0" borderId="15" xfId="0" applyNumberFormat="1" applyFont="1" applyFill="1" applyBorder="1" applyAlignment="1" applyProtection="1">
      <alignment horizontal="left" wrapText="1"/>
    </xf>
    <xf numFmtId="164" fontId="8" fillId="0" borderId="30" xfId="0" applyNumberFormat="1" applyFont="1" applyFill="1" applyBorder="1" applyAlignment="1" applyProtection="1">
      <alignment wrapText="1"/>
      <protection locked="0"/>
    </xf>
    <xf numFmtId="164" fontId="8" fillId="0" borderId="3" xfId="0" applyNumberFormat="1" applyFont="1" applyFill="1" applyBorder="1" applyAlignment="1" applyProtection="1">
      <alignment wrapText="1"/>
    </xf>
    <xf numFmtId="164" fontId="8" fillId="0" borderId="33" xfId="0" applyNumberFormat="1" applyFont="1" applyFill="1" applyBorder="1" applyAlignment="1" applyProtection="1">
      <alignment wrapText="1"/>
      <protection locked="0"/>
    </xf>
    <xf numFmtId="164" fontId="40" fillId="0" borderId="3" xfId="0" applyNumberFormat="1" applyFont="1" applyFill="1" applyBorder="1" applyAlignment="1" applyProtection="1">
      <alignment wrapText="1"/>
    </xf>
    <xf numFmtId="164" fontId="8" fillId="0" borderId="8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alignment horizontal="center" wrapText="1"/>
    </xf>
    <xf numFmtId="164" fontId="53" fillId="0" borderId="1" xfId="0" applyNumberFormat="1" applyFont="1" applyFill="1" applyBorder="1" applyAlignment="1" applyProtection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53" fillId="0" borderId="19" xfId="0" applyNumberFormat="1" applyFont="1" applyFill="1" applyBorder="1" applyAlignment="1" applyProtection="1">
      <alignment horizontal="center" vertical="center" wrapText="1"/>
    </xf>
    <xf numFmtId="164" fontId="3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4" xfId="0" applyNumberFormat="1" applyFont="1" applyFill="1" applyBorder="1" applyAlignment="1" applyProtection="1">
      <alignment horizontal="left" vertical="center" wrapText="1" indent="1"/>
    </xf>
    <xf numFmtId="49" fontId="2" fillId="0" borderId="14" xfId="1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164" fontId="31" fillId="0" borderId="1" xfId="0" applyNumberFormat="1" applyFont="1" applyFill="1" applyBorder="1" applyAlignment="1" applyProtection="1">
      <alignment horizontal="left" vertical="center" wrapText="1" indent="1"/>
    </xf>
    <xf numFmtId="164" fontId="31" fillId="0" borderId="19" xfId="0" applyNumberFormat="1" applyFont="1" applyFill="1" applyBorder="1" applyAlignment="1" applyProtection="1">
      <alignment vertical="center" wrapText="1"/>
      <protection locked="0"/>
    </xf>
    <xf numFmtId="3" fontId="28" fillId="0" borderId="2" xfId="10" applyNumberFormat="1" applyFont="1" applyFill="1" applyBorder="1" applyAlignment="1" applyProtection="1">
      <alignment horizontal="right" wrapText="1"/>
    </xf>
    <xf numFmtId="164" fontId="30" fillId="0" borderId="11" xfId="0" applyNumberFormat="1" applyFont="1" applyFill="1" applyBorder="1" applyAlignment="1" applyProtection="1">
      <alignment horizontal="left" vertical="center" wrapText="1" indent="1"/>
    </xf>
    <xf numFmtId="164" fontId="31" fillId="0" borderId="46" xfId="0" applyNumberFormat="1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164" fontId="31" fillId="0" borderId="52" xfId="0" applyNumberFormat="1" applyFont="1" applyFill="1" applyBorder="1" applyAlignment="1" applyProtection="1">
      <alignment horizontal="center" vertical="center" wrapText="1"/>
    </xf>
    <xf numFmtId="164" fontId="31" fillId="0" borderId="49" xfId="0" applyNumberFormat="1" applyFont="1" applyFill="1" applyBorder="1" applyAlignment="1" applyProtection="1">
      <alignment horizontal="center" vertical="center" wrapText="1"/>
    </xf>
    <xf numFmtId="49" fontId="2" fillId="0" borderId="28" xfId="10" applyNumberFormat="1" applyFont="1" applyFill="1" applyBorder="1" applyAlignment="1" applyProtection="1">
      <alignment horizontal="left" vertical="center" wrapText="1" indent="2"/>
    </xf>
    <xf numFmtId="49" fontId="1" fillId="0" borderId="20" xfId="10" applyNumberFormat="1" applyFont="1" applyFill="1" applyBorder="1" applyAlignment="1" applyProtection="1">
      <alignment horizontal="center" vertical="center" wrapText="1"/>
    </xf>
    <xf numFmtId="49" fontId="40" fillId="0" borderId="38" xfId="10" applyNumberFormat="1" applyFont="1" applyFill="1" applyBorder="1" applyAlignment="1" applyProtection="1">
      <alignment horizontal="left" vertical="center" wrapText="1" indent="3"/>
    </xf>
    <xf numFmtId="0" fontId="1" fillId="0" borderId="38" xfId="10" applyFont="1" applyFill="1" applyBorder="1" applyAlignment="1" applyProtection="1">
      <alignment horizontal="left" vertical="center" wrapText="1" indent="1"/>
    </xf>
    <xf numFmtId="164" fontId="15" fillId="0" borderId="11" xfId="0" applyNumberFormat="1" applyFont="1" applyFill="1" applyBorder="1" applyAlignment="1" applyProtection="1">
      <alignment horizontal="left" wrapText="1"/>
    </xf>
    <xf numFmtId="0" fontId="26" fillId="0" borderId="14" xfId="0" applyFont="1" applyBorder="1" applyAlignment="1" applyProtection="1">
      <alignment horizontal="left" wrapText="1" indent="1"/>
    </xf>
    <xf numFmtId="164" fontId="30" fillId="0" borderId="39" xfId="0" applyNumberFormat="1" applyFont="1" applyFill="1" applyBorder="1" applyAlignment="1" applyProtection="1">
      <alignment horizontal="right" wrapText="1"/>
      <protection locked="0"/>
    </xf>
    <xf numFmtId="3" fontId="1" fillId="0" borderId="3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30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30" fillId="0" borderId="3" xfId="10" applyNumberFormat="1" applyFont="1" applyFill="1" applyBorder="1" applyAlignment="1" applyProtection="1">
      <alignment horizontal="right" wrapText="1"/>
      <protection locked="0"/>
    </xf>
    <xf numFmtId="3" fontId="1" fillId="0" borderId="3" xfId="10" applyNumberFormat="1" applyFont="1" applyFill="1" applyBorder="1" applyAlignment="1" applyProtection="1">
      <alignment horizontal="right" wrapText="1"/>
      <protection locked="0"/>
    </xf>
    <xf numFmtId="3" fontId="7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38" fillId="0" borderId="3" xfId="10" applyNumberFormat="1" applyFont="1" applyFill="1" applyBorder="1" applyAlignment="1" applyProtection="1">
      <alignment horizontal="right" wrapText="1"/>
      <protection locked="0"/>
    </xf>
    <xf numFmtId="0" fontId="13" fillId="0" borderId="49" xfId="0" applyFont="1" applyFill="1" applyBorder="1" applyAlignment="1" applyProtection="1">
      <alignment horizontal="center" vertical="center" wrapText="1"/>
    </xf>
    <xf numFmtId="3" fontId="1" fillId="0" borderId="4" xfId="10" applyNumberFormat="1" applyFont="1" applyFill="1" applyBorder="1" applyAlignment="1" applyProtection="1">
      <alignment horizontal="right" wrapText="1"/>
      <protection locked="0"/>
    </xf>
    <xf numFmtId="3" fontId="28" fillId="0" borderId="19" xfId="10" applyNumberFormat="1" applyFont="1" applyFill="1" applyBorder="1" applyAlignment="1" applyProtection="1">
      <alignment horizontal="right" wrapText="1"/>
    </xf>
    <xf numFmtId="3" fontId="1" fillId="0" borderId="5" xfId="10" applyNumberFormat="1" applyFont="1" applyFill="1" applyBorder="1" applyAlignment="1" applyProtection="1">
      <alignment horizontal="right" wrapText="1"/>
      <protection locked="0"/>
    </xf>
    <xf numFmtId="3" fontId="7" fillId="0" borderId="5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3" fontId="31" fillId="0" borderId="2" xfId="10" applyNumberFormat="1" applyFont="1" applyFill="1" applyBorder="1" applyAlignment="1" applyProtection="1">
      <alignment horizontal="right" wrapText="1"/>
    </xf>
    <xf numFmtId="3" fontId="31" fillId="0" borderId="19" xfId="10" applyNumberFormat="1" applyFont="1" applyFill="1" applyBorder="1" applyAlignment="1" applyProtection="1">
      <alignment horizontal="right" wrapText="1"/>
    </xf>
    <xf numFmtId="3" fontId="30" fillId="0" borderId="5" xfId="10" applyNumberFormat="1" applyFont="1" applyFill="1" applyBorder="1" applyAlignment="1" applyProtection="1">
      <alignment horizontal="right" wrapText="1"/>
      <protection locked="0"/>
    </xf>
    <xf numFmtId="3" fontId="30" fillId="0" borderId="4" xfId="10" applyNumberFormat="1" applyFont="1" applyFill="1" applyBorder="1" applyAlignment="1" applyProtection="1">
      <alignment horizontal="right" wrapText="1"/>
      <protection locked="0"/>
    </xf>
    <xf numFmtId="3" fontId="28" fillId="0" borderId="2" xfId="10" applyNumberFormat="1" applyFont="1" applyFill="1" applyBorder="1" applyAlignment="1" applyProtection="1">
      <alignment horizontal="right" wrapText="1"/>
      <protection locked="0"/>
    </xf>
    <xf numFmtId="3" fontId="7" fillId="0" borderId="2" xfId="0" applyNumberFormat="1" applyFont="1" applyFill="1" applyBorder="1" applyAlignment="1">
      <alignment horizontal="right" wrapText="1"/>
    </xf>
    <xf numFmtId="0" fontId="31" fillId="0" borderId="27" xfId="10" applyFont="1" applyFill="1" applyBorder="1" applyAlignment="1" applyProtection="1">
      <alignment horizontal="left" vertical="center" wrapText="1" indent="1"/>
    </xf>
    <xf numFmtId="0" fontId="0" fillId="0" borderId="0" xfId="0" applyFill="1" applyBorder="1" applyAlignment="1">
      <alignment horizontal="center" wrapText="1"/>
    </xf>
    <xf numFmtId="3" fontId="1" fillId="0" borderId="3" xfId="10" applyNumberFormat="1" applyFont="1" applyFill="1" applyBorder="1" applyAlignment="1" applyProtection="1">
      <alignment vertical="center" wrapText="1"/>
      <protection locked="0"/>
    </xf>
    <xf numFmtId="3" fontId="1" fillId="0" borderId="35" xfId="0" applyNumberFormat="1" applyFont="1" applyFill="1" applyBorder="1" applyAlignment="1" applyProtection="1">
      <alignment vertical="center" wrapText="1"/>
    </xf>
    <xf numFmtId="49" fontId="2" fillId="0" borderId="16" xfId="10" applyNumberFormat="1" applyFont="1" applyFill="1" applyBorder="1" applyAlignment="1" applyProtection="1">
      <alignment horizontal="left" vertical="center" wrapText="1" indent="2"/>
    </xf>
    <xf numFmtId="164" fontId="38" fillId="0" borderId="5" xfId="0" applyNumberFormat="1" applyFont="1" applyFill="1" applyBorder="1" applyAlignment="1" applyProtection="1">
      <alignment horizontal="right" wrapText="1"/>
    </xf>
    <xf numFmtId="0" fontId="30" fillId="0" borderId="7" xfId="0" applyFont="1" applyFill="1" applyBorder="1" applyAlignment="1" applyProtection="1">
      <alignment horizontal="right" wrapText="1"/>
    </xf>
    <xf numFmtId="3" fontId="30" fillId="0" borderId="7" xfId="0" applyNumberFormat="1" applyFont="1" applyFill="1" applyBorder="1" applyAlignment="1" applyProtection="1">
      <alignment horizontal="right" wrapText="1"/>
    </xf>
    <xf numFmtId="3" fontId="8" fillId="0" borderId="30" xfId="0" applyNumberFormat="1" applyFont="1" applyFill="1" applyBorder="1" applyAlignment="1" applyProtection="1">
      <alignment horizontal="right" wrapText="1"/>
      <protection locked="0"/>
    </xf>
    <xf numFmtId="3" fontId="30" fillId="0" borderId="3" xfId="0" applyNumberFormat="1" applyFont="1" applyFill="1" applyBorder="1" applyAlignment="1" applyProtection="1">
      <alignment horizontal="right" wrapText="1"/>
    </xf>
    <xf numFmtId="3" fontId="40" fillId="0" borderId="25" xfId="0" applyNumberFormat="1" applyFont="1" applyFill="1" applyBorder="1" applyAlignment="1" applyProtection="1">
      <alignment horizontal="right" wrapText="1"/>
      <protection locked="0"/>
    </xf>
    <xf numFmtId="3" fontId="8" fillId="0" borderId="25" xfId="0" applyNumberFormat="1" applyFont="1" applyFill="1" applyBorder="1" applyAlignment="1" applyProtection="1">
      <alignment horizontal="right" wrapText="1"/>
      <protection locked="0"/>
    </xf>
    <xf numFmtId="3" fontId="1" fillId="0" borderId="3" xfId="0" applyNumberFormat="1" applyFont="1" applyFill="1" applyBorder="1" applyAlignment="1" applyProtection="1">
      <alignment horizontal="right" wrapText="1"/>
    </xf>
    <xf numFmtId="3" fontId="1" fillId="0" borderId="35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4" fillId="0" borderId="10" xfId="0" applyNumberFormat="1" applyFont="1" applyFill="1" applyBorder="1" applyAlignment="1" applyProtection="1">
      <alignment horizontal="right" wrapText="1"/>
    </xf>
    <xf numFmtId="3" fontId="7" fillId="0" borderId="3" xfId="0" applyNumberFormat="1" applyFont="1" applyFill="1" applyBorder="1" applyAlignment="1" applyProtection="1">
      <alignment horizontal="right" wrapText="1"/>
    </xf>
    <xf numFmtId="3" fontId="2" fillId="0" borderId="25" xfId="0" applyNumberFormat="1" applyFont="1" applyFill="1" applyBorder="1" applyAlignment="1" applyProtection="1">
      <alignment horizontal="right" wrapText="1"/>
      <protection locked="0"/>
    </xf>
    <xf numFmtId="3" fontId="2" fillId="0" borderId="28" xfId="0" applyNumberFormat="1" applyFont="1" applyFill="1" applyBorder="1" applyAlignment="1" applyProtection="1">
      <alignment horizontal="right" wrapText="1"/>
      <protection locked="0"/>
    </xf>
    <xf numFmtId="3" fontId="8" fillId="0" borderId="3" xfId="0" applyNumberFormat="1" applyFont="1" applyFill="1" applyBorder="1" applyAlignment="1" applyProtection="1">
      <alignment wrapText="1"/>
    </xf>
    <xf numFmtId="3" fontId="0" fillId="0" borderId="25" xfId="0" applyNumberFormat="1" applyFill="1" applyBorder="1" applyAlignment="1" applyProtection="1">
      <alignment wrapText="1"/>
    </xf>
    <xf numFmtId="3" fontId="0" fillId="0" borderId="3" xfId="0" applyNumberFormat="1" applyFill="1" applyBorder="1" applyAlignment="1" applyProtection="1">
      <alignment wrapText="1"/>
    </xf>
    <xf numFmtId="49" fontId="40" fillId="0" borderId="3" xfId="10" applyNumberFormat="1" applyFont="1" applyFill="1" applyBorder="1" applyAlignment="1" applyProtection="1">
      <alignment horizontal="left" vertical="center" wrapText="1" indent="2"/>
    </xf>
    <xf numFmtId="3" fontId="8" fillId="0" borderId="38" xfId="0" applyNumberFormat="1" applyFont="1" applyFill="1" applyBorder="1" applyAlignment="1" applyProtection="1">
      <alignment horizontal="right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vertical="center" wrapText="1"/>
    </xf>
    <xf numFmtId="3" fontId="4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3" xfId="0" applyNumberFormat="1" applyFont="1" applyFill="1" applyBorder="1" applyAlignment="1" applyProtection="1">
      <alignment vertical="center" wrapText="1"/>
    </xf>
    <xf numFmtId="3" fontId="4" fillId="0" borderId="41" xfId="0" applyNumberFormat="1" applyFont="1" applyFill="1" applyBorder="1" applyAlignment="1" applyProtection="1">
      <alignment wrapText="1"/>
    </xf>
    <xf numFmtId="3" fontId="4" fillId="0" borderId="10" xfId="0" applyNumberFormat="1" applyFont="1" applyFill="1" applyBorder="1" applyAlignment="1" applyProtection="1">
      <alignment wrapText="1"/>
    </xf>
    <xf numFmtId="3" fontId="15" fillId="0" borderId="41" xfId="0" applyNumberFormat="1" applyFont="1" applyFill="1" applyBorder="1" applyAlignment="1" applyProtection="1">
      <alignment wrapText="1"/>
    </xf>
    <xf numFmtId="3" fontId="15" fillId="0" borderId="10" xfId="0" applyNumberFormat="1" applyFont="1" applyFill="1" applyBorder="1" applyAlignment="1" applyProtection="1">
      <alignment wrapText="1"/>
    </xf>
    <xf numFmtId="3" fontId="40" fillId="0" borderId="25" xfId="0" applyNumberFormat="1" applyFont="1" applyFill="1" applyBorder="1" applyAlignment="1" applyProtection="1">
      <alignment vertical="center" wrapText="1"/>
      <protection locked="0"/>
    </xf>
    <xf numFmtId="3" fontId="2" fillId="0" borderId="25" xfId="0" applyNumberFormat="1" applyFont="1" applyFill="1" applyBorder="1" applyAlignment="1" applyProtection="1">
      <alignment wrapText="1"/>
      <protection locked="0"/>
    </xf>
    <xf numFmtId="3" fontId="2" fillId="0" borderId="24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alignment wrapText="1"/>
    </xf>
    <xf numFmtId="3" fontId="4" fillId="0" borderId="10" xfId="0" applyNumberFormat="1" applyFont="1" applyFill="1" applyBorder="1" applyAlignment="1" applyProtection="1">
      <alignment wrapText="1"/>
      <protection locked="0"/>
    </xf>
    <xf numFmtId="3" fontId="7" fillId="0" borderId="3" xfId="0" applyNumberFormat="1" applyFont="1" applyFill="1" applyBorder="1" applyAlignment="1" applyProtection="1">
      <alignment wrapText="1"/>
    </xf>
    <xf numFmtId="3" fontId="2" fillId="0" borderId="30" xfId="0" applyNumberFormat="1" applyFont="1" applyFill="1" applyBorder="1" applyAlignment="1" applyProtection="1">
      <alignment wrapText="1"/>
      <protection locked="0"/>
    </xf>
    <xf numFmtId="3" fontId="40" fillId="0" borderId="3" xfId="0" applyNumberFormat="1" applyFont="1" applyFill="1" applyBorder="1" applyAlignment="1" applyProtection="1">
      <alignment wrapText="1"/>
      <protection locked="0"/>
    </xf>
    <xf numFmtId="3" fontId="8" fillId="0" borderId="3" xfId="0" applyNumberFormat="1" applyFont="1" applyFill="1" applyBorder="1" applyAlignment="1" applyProtection="1">
      <alignment wrapText="1"/>
      <protection locked="0"/>
    </xf>
    <xf numFmtId="3" fontId="30" fillId="0" borderId="3" xfId="0" applyNumberFormat="1" applyFont="1" applyFill="1" applyBorder="1" applyAlignment="1" applyProtection="1">
      <alignment wrapText="1"/>
    </xf>
    <xf numFmtId="3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3" xfId="0" applyNumberFormat="1" applyFont="1" applyFill="1" applyBorder="1" applyAlignment="1" applyProtection="1">
      <alignment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5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wrapText="1"/>
    </xf>
    <xf numFmtId="3" fontId="15" fillId="0" borderId="2" xfId="0" applyNumberFormat="1" applyFont="1" applyFill="1" applyBorder="1" applyAlignment="1" applyProtection="1">
      <alignment wrapText="1"/>
    </xf>
    <xf numFmtId="3" fontId="8" fillId="0" borderId="14" xfId="0" applyNumberFormat="1" applyFont="1" applyFill="1" applyBorder="1" applyAlignment="1" applyProtection="1">
      <alignment wrapText="1"/>
      <protection locked="0"/>
    </xf>
    <xf numFmtId="3" fontId="40" fillId="0" borderId="14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wrapText="1"/>
    </xf>
    <xf numFmtId="3" fontId="4" fillId="0" borderId="2" xfId="0" applyNumberFormat="1" applyFont="1" applyFill="1" applyBorder="1" applyAlignment="1" applyProtection="1">
      <alignment wrapText="1"/>
    </xf>
    <xf numFmtId="3" fontId="2" fillId="0" borderId="15" xfId="0" applyNumberFormat="1" applyFont="1" applyFill="1" applyBorder="1" applyAlignment="1" applyProtection="1">
      <alignment wrapText="1"/>
      <protection locked="0"/>
    </xf>
    <xf numFmtId="3" fontId="8" fillId="0" borderId="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3" fontId="2" fillId="0" borderId="28" xfId="0" applyNumberFormat="1" applyFont="1" applyFill="1" applyBorder="1" applyAlignment="1" applyProtection="1">
      <alignment vertical="center" wrapText="1"/>
      <protection locked="0"/>
    </xf>
    <xf numFmtId="3" fontId="2" fillId="0" borderId="25" xfId="0" applyNumberFormat="1" applyFont="1" applyFill="1" applyBorder="1" applyAlignment="1" applyProtection="1">
      <alignment vertical="center" wrapText="1"/>
      <protection locked="0"/>
    </xf>
    <xf numFmtId="3" fontId="1" fillId="0" borderId="7" xfId="0" applyNumberFormat="1" applyFont="1" applyFill="1" applyBorder="1" applyAlignment="1" applyProtection="1">
      <alignment vertical="center" wrapText="1"/>
    </xf>
    <xf numFmtId="3" fontId="2" fillId="0" borderId="27" xfId="0" applyNumberFormat="1" applyFont="1" applyFill="1" applyBorder="1" applyAlignment="1" applyProtection="1">
      <alignment vertical="center" wrapText="1"/>
      <protection locked="0"/>
    </xf>
    <xf numFmtId="3" fontId="40" fillId="0" borderId="30" xfId="0" applyNumberFormat="1" applyFont="1" applyFill="1" applyBorder="1" applyAlignment="1" applyProtection="1">
      <alignment vertical="center" wrapText="1"/>
      <protection locked="0"/>
    </xf>
    <xf numFmtId="3" fontId="8" fillId="0" borderId="25" xfId="0" applyNumberFormat="1" applyFont="1" applyFill="1" applyBorder="1" applyAlignment="1" applyProtection="1">
      <alignment vertical="center" wrapText="1"/>
      <protection locked="0"/>
    </xf>
    <xf numFmtId="3" fontId="8" fillId="0" borderId="28" xfId="0" applyNumberFormat="1" applyFont="1" applyFill="1" applyBorder="1" applyAlignment="1" applyProtection="1">
      <alignment vertical="center" wrapText="1"/>
      <protection locked="0"/>
    </xf>
    <xf numFmtId="3" fontId="8" fillId="0" borderId="30" xfId="0" applyNumberFormat="1" applyFont="1" applyFill="1" applyBorder="1" applyAlignment="1" applyProtection="1">
      <alignment vertical="center" wrapText="1"/>
      <protection locked="0"/>
    </xf>
    <xf numFmtId="3" fontId="8" fillId="0" borderId="38" xfId="0" applyNumberFormat="1" applyFont="1" applyFill="1" applyBorder="1" applyAlignment="1" applyProtection="1">
      <alignment vertical="center" wrapText="1"/>
      <protection locked="0"/>
    </xf>
    <xf numFmtId="3" fontId="7" fillId="0" borderId="2" xfId="0" applyNumberFormat="1" applyFont="1" applyFill="1" applyBorder="1" applyAlignment="1" applyProtection="1">
      <alignment vertical="center" wrapText="1"/>
    </xf>
    <xf numFmtId="3" fontId="15" fillId="0" borderId="41" xfId="0" applyNumberFormat="1" applyFont="1" applyFill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 applyProtection="1">
      <alignment vertical="center" wrapText="1"/>
    </xf>
    <xf numFmtId="3" fontId="15" fillId="0" borderId="6" xfId="0" applyNumberFormat="1" applyFont="1" applyFill="1" applyBorder="1" applyAlignment="1" applyProtection="1">
      <alignment vertical="center" wrapText="1"/>
    </xf>
    <xf numFmtId="3" fontId="38" fillId="0" borderId="25" xfId="0" applyNumberFormat="1" applyFont="1" applyFill="1" applyBorder="1" applyAlignment="1">
      <alignment vertical="center" wrapText="1"/>
    </xf>
    <xf numFmtId="3" fontId="38" fillId="0" borderId="3" xfId="0" applyNumberFormat="1" applyFont="1" applyFill="1" applyBorder="1" applyAlignment="1">
      <alignment vertical="center" wrapText="1"/>
    </xf>
    <xf numFmtId="3" fontId="30" fillId="0" borderId="5" xfId="0" applyNumberFormat="1" applyFont="1" applyFill="1" applyBorder="1" applyAlignment="1">
      <alignment vertical="center" wrapText="1"/>
    </xf>
    <xf numFmtId="3" fontId="28" fillId="0" borderId="2" xfId="10" applyNumberFormat="1" applyFont="1" applyFill="1" applyBorder="1" applyAlignment="1" applyProtection="1">
      <alignment vertical="center" wrapText="1"/>
    </xf>
    <xf numFmtId="3" fontId="28" fillId="0" borderId="19" xfId="10" applyNumberFormat="1" applyFont="1" applyFill="1" applyBorder="1" applyAlignment="1" applyProtection="1">
      <alignment vertical="center" wrapText="1"/>
    </xf>
    <xf numFmtId="0" fontId="37" fillId="0" borderId="25" xfId="0" applyFont="1" applyBorder="1" applyAlignment="1" applyProtection="1">
      <alignment horizontal="left" vertical="center" wrapText="1" indent="1"/>
    </xf>
    <xf numFmtId="3" fontId="22" fillId="0" borderId="49" xfId="12" applyNumberFormat="1" applyFont="1" applyBorder="1" applyAlignment="1">
      <alignment horizontal="center" vertical="center" wrapText="1"/>
    </xf>
    <xf numFmtId="3" fontId="22" fillId="0" borderId="12" xfId="12" applyNumberFormat="1" applyFont="1" applyFill="1" applyBorder="1" applyAlignment="1">
      <alignment horizontal="center" vertical="center" wrapText="1"/>
    </xf>
    <xf numFmtId="3" fontId="22" fillId="0" borderId="12" xfId="12" applyNumberFormat="1" applyFont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right" wrapText="1"/>
    </xf>
    <xf numFmtId="3" fontId="1" fillId="0" borderId="7" xfId="10" applyNumberFormat="1" applyFont="1" applyFill="1" applyBorder="1" applyAlignment="1" applyProtection="1">
      <alignment horizontal="right" wrapText="1"/>
      <protection locked="0"/>
    </xf>
    <xf numFmtId="3" fontId="1" fillId="0" borderId="35" xfId="10" applyNumberFormat="1" applyFont="1" applyFill="1" applyBorder="1" applyAlignment="1" applyProtection="1">
      <alignment horizontal="right" wrapText="1"/>
      <protection locked="0"/>
    </xf>
    <xf numFmtId="3" fontId="30" fillId="0" borderId="35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3" fontId="38" fillId="0" borderId="3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3" fontId="1" fillId="0" borderId="22" xfId="10" applyNumberFormat="1" applyFont="1" applyFill="1" applyBorder="1" applyAlignment="1" applyProtection="1">
      <alignment horizontal="right" wrapText="1"/>
      <protection locked="0"/>
    </xf>
    <xf numFmtId="3" fontId="30" fillId="0" borderId="3" xfId="0" applyNumberFormat="1" applyFont="1" applyFill="1" applyBorder="1" applyAlignment="1" applyProtection="1">
      <alignment horizontal="right" wrapText="1"/>
      <protection locked="0"/>
    </xf>
    <xf numFmtId="3" fontId="30" fillId="0" borderId="35" xfId="10" applyNumberFormat="1" applyFont="1" applyFill="1" applyBorder="1" applyAlignment="1" applyProtection="1">
      <alignment horizontal="right" wrapText="1"/>
      <protection locked="0"/>
    </xf>
    <xf numFmtId="3" fontId="1" fillId="0" borderId="5" xfId="10" applyNumberFormat="1" applyFont="1" applyFill="1" applyBorder="1" applyAlignment="1" applyProtection="1">
      <alignment vertical="center" wrapText="1"/>
      <protection locked="0"/>
    </xf>
    <xf numFmtId="3" fontId="38" fillId="0" borderId="3" xfId="10" applyNumberFormat="1" applyFont="1" applyFill="1" applyBorder="1" applyAlignment="1" applyProtection="1">
      <alignment vertical="center" wrapText="1"/>
      <protection locked="0"/>
    </xf>
    <xf numFmtId="3" fontId="30" fillId="0" borderId="3" xfId="10" applyNumberFormat="1" applyFont="1" applyFill="1" applyBorder="1" applyAlignment="1" applyProtection="1">
      <alignment vertical="center" wrapText="1"/>
      <protection locked="0"/>
    </xf>
    <xf numFmtId="164" fontId="23" fillId="0" borderId="2" xfId="0" quotePrefix="1" applyNumberFormat="1" applyFont="1" applyBorder="1" applyAlignment="1" applyProtection="1">
      <alignment vertical="center" wrapText="1"/>
    </xf>
    <xf numFmtId="3" fontId="28" fillId="0" borderId="1" xfId="10" applyNumberFormat="1" applyFont="1" applyFill="1" applyBorder="1" applyAlignment="1" applyProtection="1">
      <alignment horizontal="right" vertical="center" wrapText="1" indent="1"/>
    </xf>
    <xf numFmtId="3" fontId="28" fillId="0" borderId="2" xfId="10" applyNumberFormat="1" applyFont="1" applyFill="1" applyBorder="1" applyAlignment="1" applyProtection="1">
      <alignment horizontal="right" vertical="center" wrapText="1" indent="1"/>
    </xf>
    <xf numFmtId="3" fontId="1" fillId="0" borderId="15" xfId="1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4" xfId="1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6" xfId="1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1" xfId="10" applyNumberFormat="1" applyFont="1" applyFill="1" applyBorder="1" applyAlignment="1" applyProtection="1">
      <alignment horizontal="right" vertical="center" wrapText="1" indent="1"/>
    </xf>
    <xf numFmtId="3" fontId="31" fillId="0" borderId="2" xfId="10" applyNumberFormat="1" applyFont="1" applyFill="1" applyBorder="1" applyAlignment="1" applyProtection="1">
      <alignment horizontal="right" vertical="center" wrapText="1" indent="1"/>
    </xf>
    <xf numFmtId="3" fontId="1" fillId="0" borderId="15" xfId="10" applyNumberFormat="1" applyFont="1" applyFill="1" applyBorder="1" applyAlignment="1" applyProtection="1">
      <alignment horizontal="right" vertical="center" wrapText="1" indent="1"/>
    </xf>
    <xf numFmtId="3" fontId="1" fillId="0" borderId="4" xfId="10" applyNumberFormat="1" applyFont="1" applyFill="1" applyBorder="1" applyAlignment="1" applyProtection="1">
      <alignment horizontal="right" vertical="center" wrapText="1" indent="1"/>
    </xf>
    <xf numFmtId="3" fontId="38" fillId="0" borderId="14" xfId="10" applyNumberFormat="1" applyFont="1" applyFill="1" applyBorder="1" applyAlignment="1" applyProtection="1">
      <alignment horizontal="right" vertical="center" wrapText="1" indent="1"/>
      <protection locked="0"/>
    </xf>
    <xf numFmtId="3" fontId="40" fillId="0" borderId="14" xfId="0" applyNumberFormat="1" applyFont="1" applyFill="1" applyBorder="1" applyAlignment="1" applyProtection="1">
      <alignment vertical="center" wrapText="1"/>
      <protection locked="0"/>
    </xf>
    <xf numFmtId="3" fontId="30" fillId="0" borderId="14" xfId="1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16" xfId="1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15" xfId="10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" xfId="10" applyNumberFormat="1" applyFont="1" applyFill="1" applyBorder="1" applyAlignment="1" applyProtection="1">
      <alignment vertical="center" wrapText="1"/>
    </xf>
    <xf numFmtId="3" fontId="30" fillId="0" borderId="4" xfId="10" applyNumberFormat="1" applyFont="1" applyFill="1" applyBorder="1" applyAlignment="1" applyProtection="1">
      <alignment vertical="center" wrapText="1"/>
      <protection locked="0"/>
    </xf>
    <xf numFmtId="3" fontId="28" fillId="0" borderId="1" xfId="1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" xfId="0" applyNumberFormat="1" applyFont="1" applyFill="1" applyBorder="1" applyAlignment="1">
      <alignment vertical="center" wrapText="1"/>
    </xf>
    <xf numFmtId="3" fontId="38" fillId="0" borderId="16" xfId="1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5" xfId="0" applyNumberFormat="1" applyFont="1" applyFill="1" applyBorder="1" applyAlignment="1">
      <alignment vertical="center" wrapText="1"/>
    </xf>
    <xf numFmtId="3" fontId="28" fillId="0" borderId="1" xfId="10" applyNumberFormat="1" applyFont="1" applyFill="1" applyBorder="1" applyAlignment="1" applyProtection="1">
      <alignment vertical="center" wrapText="1"/>
    </xf>
    <xf numFmtId="3" fontId="38" fillId="0" borderId="14" xfId="10" applyNumberFormat="1" applyFont="1" applyFill="1" applyBorder="1" applyAlignment="1" applyProtection="1">
      <alignment vertical="center" wrapText="1"/>
      <protection locked="0"/>
    </xf>
    <xf numFmtId="3" fontId="30" fillId="0" borderId="15" xfId="10" applyNumberFormat="1" applyFont="1" applyFill="1" applyBorder="1" applyAlignment="1" applyProtection="1">
      <alignment vertical="center" wrapText="1"/>
      <protection locked="0"/>
    </xf>
    <xf numFmtId="3" fontId="28" fillId="0" borderId="1" xfId="10" applyNumberFormat="1" applyFont="1" applyFill="1" applyBorder="1" applyAlignment="1" applyProtection="1">
      <alignment wrapText="1"/>
    </xf>
    <xf numFmtId="3" fontId="1" fillId="0" borderId="15" xfId="10" applyNumberFormat="1" applyFont="1" applyFill="1" applyBorder="1" applyAlignment="1" applyProtection="1">
      <alignment wrapText="1"/>
      <protection locked="0"/>
    </xf>
    <xf numFmtId="3" fontId="1" fillId="0" borderId="14" xfId="10" applyNumberFormat="1" applyFont="1" applyFill="1" applyBorder="1" applyAlignment="1" applyProtection="1">
      <alignment wrapText="1"/>
      <protection locked="0"/>
    </xf>
    <xf numFmtId="3" fontId="1" fillId="0" borderId="16" xfId="10" applyNumberFormat="1" applyFont="1" applyFill="1" applyBorder="1" applyAlignment="1" applyProtection="1">
      <alignment wrapText="1"/>
      <protection locked="0"/>
    </xf>
    <xf numFmtId="3" fontId="31" fillId="0" borderId="1" xfId="10" applyNumberFormat="1" applyFont="1" applyFill="1" applyBorder="1" applyAlignment="1" applyProtection="1">
      <alignment wrapText="1"/>
    </xf>
    <xf numFmtId="3" fontId="38" fillId="0" borderId="14" xfId="10" applyNumberFormat="1" applyFont="1" applyFill="1" applyBorder="1" applyAlignment="1" applyProtection="1">
      <alignment wrapText="1"/>
      <protection locked="0"/>
    </xf>
    <xf numFmtId="3" fontId="30" fillId="0" borderId="14" xfId="10" applyNumberFormat="1" applyFont="1" applyFill="1" applyBorder="1" applyAlignment="1" applyProtection="1">
      <alignment wrapText="1"/>
      <protection locked="0"/>
    </xf>
    <xf numFmtId="3" fontId="30" fillId="0" borderId="16" xfId="10" applyNumberFormat="1" applyFont="1" applyFill="1" applyBorder="1" applyAlignment="1" applyProtection="1">
      <alignment wrapText="1"/>
      <protection locked="0"/>
    </xf>
    <xf numFmtId="3" fontId="1" fillId="0" borderId="13" xfId="10" applyNumberFormat="1" applyFont="1" applyFill="1" applyBorder="1" applyAlignment="1" applyProtection="1">
      <alignment wrapText="1"/>
      <protection locked="0"/>
    </xf>
    <xf numFmtId="3" fontId="1" fillId="0" borderId="34" xfId="10" applyNumberFormat="1" applyFont="1" applyFill="1" applyBorder="1" applyAlignment="1" applyProtection="1">
      <alignment wrapText="1"/>
      <protection locked="0"/>
    </xf>
    <xf numFmtId="3" fontId="31" fillId="0" borderId="1" xfId="10" applyNumberFormat="1" applyFont="1" applyFill="1" applyBorder="1" applyAlignment="1" applyProtection="1">
      <alignment horizontal="right" wrapText="1"/>
    </xf>
    <xf numFmtId="3" fontId="28" fillId="0" borderId="41" xfId="10" applyNumberFormat="1" applyFont="1" applyFill="1" applyBorder="1" applyAlignment="1" applyProtection="1">
      <alignment horizontal="right" vertical="center" wrapText="1" indent="1"/>
    </xf>
    <xf numFmtId="3" fontId="30" fillId="0" borderId="53" xfId="0" applyNumberFormat="1" applyFont="1" applyFill="1" applyBorder="1" applyAlignment="1">
      <alignment vertical="center" wrapText="1"/>
    </xf>
    <xf numFmtId="3" fontId="30" fillId="0" borderId="50" xfId="0" applyNumberFormat="1" applyFont="1" applyFill="1" applyBorder="1" applyAlignment="1">
      <alignment vertical="center" wrapText="1"/>
    </xf>
    <xf numFmtId="3" fontId="30" fillId="0" borderId="54" xfId="0" applyNumberFormat="1" applyFont="1" applyFill="1" applyBorder="1" applyAlignment="1">
      <alignment vertical="center" wrapText="1"/>
    </xf>
    <xf numFmtId="3" fontId="7" fillId="0" borderId="53" xfId="0" applyNumberFormat="1" applyFont="1" applyFill="1" applyBorder="1" applyAlignment="1">
      <alignment vertical="center" wrapText="1"/>
    </xf>
    <xf numFmtId="3" fontId="7" fillId="0" borderId="54" xfId="0" applyNumberFormat="1" applyFont="1" applyFill="1" applyBorder="1" applyAlignment="1">
      <alignment vertical="center" wrapText="1"/>
    </xf>
    <xf numFmtId="3" fontId="31" fillId="0" borderId="41" xfId="10" applyNumberFormat="1" applyFont="1" applyFill="1" applyBorder="1" applyAlignment="1" applyProtection="1">
      <alignment horizontal="right" vertical="center" wrapText="1" indent="1"/>
    </xf>
    <xf numFmtId="3" fontId="7" fillId="0" borderId="50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 applyProtection="1">
      <alignment wrapText="1"/>
    </xf>
    <xf numFmtId="3" fontId="23" fillId="0" borderId="41" xfId="0" applyNumberFormat="1" applyFont="1" applyBorder="1" applyAlignment="1" applyProtection="1">
      <alignment horizontal="right" vertical="center" wrapText="1" indent="1"/>
    </xf>
    <xf numFmtId="3" fontId="23" fillId="0" borderId="1" xfId="0" quotePrefix="1" applyNumberFormat="1" applyFont="1" applyBorder="1" applyAlignment="1" applyProtection="1">
      <alignment wrapText="1"/>
    </xf>
    <xf numFmtId="3" fontId="23" fillId="0" borderId="41" xfId="0" quotePrefix="1" applyNumberFormat="1" applyFont="1" applyBorder="1" applyAlignment="1" applyProtection="1">
      <alignment horizontal="right" vertical="center" wrapText="1" indent="1"/>
    </xf>
    <xf numFmtId="3" fontId="23" fillId="0" borderId="11" xfId="0" quotePrefix="1" applyNumberFormat="1" applyFont="1" applyBorder="1" applyAlignment="1" applyProtection="1">
      <alignment wrapText="1"/>
    </xf>
    <xf numFmtId="3" fontId="23" fillId="0" borderId="2" xfId="0" quotePrefix="1" applyNumberFormat="1" applyFont="1" applyBorder="1" applyAlignment="1" applyProtection="1">
      <alignment horizontal="right" vertical="center" wrapText="1" indent="1"/>
    </xf>
    <xf numFmtId="3" fontId="30" fillId="0" borderId="55" xfId="0" applyNumberFormat="1" applyFont="1" applyFill="1" applyBorder="1" applyAlignment="1">
      <alignment vertical="center" wrapText="1"/>
    </xf>
    <xf numFmtId="3" fontId="30" fillId="0" borderId="51" xfId="0" applyNumberFormat="1" applyFont="1" applyFill="1" applyBorder="1" applyAlignment="1">
      <alignment vertical="center" wrapText="1"/>
    </xf>
    <xf numFmtId="3" fontId="28" fillId="0" borderId="1" xfId="10" applyNumberFormat="1" applyFont="1" applyFill="1" applyBorder="1" applyAlignment="1" applyProtection="1">
      <alignment horizontal="right" wrapText="1"/>
    </xf>
    <xf numFmtId="3" fontId="30" fillId="0" borderId="44" xfId="10" applyNumberFormat="1" applyFont="1" applyFill="1" applyBorder="1" applyAlignment="1" applyProtection="1">
      <alignment wrapText="1"/>
      <protection locked="0"/>
    </xf>
    <xf numFmtId="3" fontId="38" fillId="0" borderId="44" xfId="10" applyNumberFormat="1" applyFont="1" applyFill="1" applyBorder="1" applyAlignment="1" applyProtection="1">
      <alignment wrapText="1"/>
      <protection locked="0"/>
    </xf>
    <xf numFmtId="3" fontId="38" fillId="0" borderId="16" xfId="10" applyNumberFormat="1" applyFont="1" applyFill="1" applyBorder="1" applyAlignment="1" applyProtection="1">
      <alignment wrapText="1"/>
      <protection locked="0"/>
    </xf>
    <xf numFmtId="3" fontId="23" fillId="0" borderId="2" xfId="0" applyNumberFormat="1" applyFont="1" applyBorder="1" applyAlignment="1" applyProtection="1">
      <alignment horizontal="right" vertical="center" wrapText="1" indent="1"/>
    </xf>
    <xf numFmtId="3" fontId="30" fillId="0" borderId="3" xfId="1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4" xfId="10" applyNumberFormat="1" applyFont="1" applyFill="1" applyBorder="1" applyAlignment="1" applyProtection="1">
      <alignment vertical="center" wrapText="1"/>
      <protection locked="0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164" fontId="31" fillId="0" borderId="23" xfId="0" applyNumberFormat="1" applyFont="1" applyFill="1" applyBorder="1" applyAlignment="1" applyProtection="1">
      <alignment horizontal="center" vertical="center" wrapText="1"/>
    </xf>
    <xf numFmtId="164" fontId="30" fillId="0" borderId="3" xfId="0" applyNumberFormat="1" applyFont="1" applyFill="1" applyBorder="1" applyAlignment="1" applyProtection="1">
      <alignment wrapText="1"/>
    </xf>
    <xf numFmtId="164" fontId="30" fillId="0" borderId="44" xfId="0" applyNumberFormat="1" applyFont="1" applyFill="1" applyBorder="1" applyAlignment="1" applyProtection="1">
      <alignment horizontal="left" vertical="center" wrapText="1" indent="1"/>
    </xf>
    <xf numFmtId="164" fontId="30" fillId="0" borderId="48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Border="1" applyAlignment="1" applyProtection="1">
      <alignment vertical="center" wrapText="1"/>
    </xf>
    <xf numFmtId="164" fontId="31" fillId="0" borderId="2" xfId="0" applyNumberFormat="1" applyFont="1" applyFill="1" applyBorder="1" applyAlignment="1" applyProtection="1">
      <alignment wrapText="1"/>
      <protection locked="0"/>
    </xf>
    <xf numFmtId="3" fontId="27" fillId="0" borderId="8" xfId="12" applyNumberFormat="1" applyFont="1" applyFill="1" applyBorder="1" applyAlignment="1">
      <alignment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1" fillId="0" borderId="9" xfId="0" applyNumberFormat="1" applyFont="1" applyFill="1" applyBorder="1" applyAlignment="1" applyProtection="1">
      <alignment vertical="center" wrapText="1"/>
    </xf>
    <xf numFmtId="164" fontId="31" fillId="0" borderId="2" xfId="0" applyNumberFormat="1" applyFont="1" applyFill="1" applyBorder="1" applyAlignment="1" applyProtection="1">
      <alignment horizontal="right" wrapText="1"/>
      <protection locked="0"/>
    </xf>
    <xf numFmtId="164" fontId="31" fillId="0" borderId="2" xfId="0" applyNumberFormat="1" applyFont="1" applyFill="1" applyBorder="1" applyAlignment="1" applyProtection="1">
      <alignment horizontal="right" wrapText="1"/>
    </xf>
    <xf numFmtId="0" fontId="26" fillId="0" borderId="25" xfId="12" applyFont="1" applyFill="1" applyBorder="1" applyAlignment="1">
      <alignment vertical="center" wrapText="1"/>
    </xf>
    <xf numFmtId="0" fontId="62" fillId="0" borderId="25" xfId="12" applyFont="1" applyFill="1" applyBorder="1" applyAlignment="1">
      <alignment vertical="center" wrapText="1"/>
    </xf>
    <xf numFmtId="0" fontId="30" fillId="2" borderId="25" xfId="0" applyFont="1" applyFill="1" applyBorder="1" applyAlignment="1">
      <alignment vertical="center" wrapText="1"/>
    </xf>
    <xf numFmtId="0" fontId="30" fillId="2" borderId="26" xfId="0" applyFont="1" applyFill="1" applyBorder="1" applyAlignment="1">
      <alignment vertical="center" wrapText="1"/>
    </xf>
    <xf numFmtId="0" fontId="30" fillId="2" borderId="24" xfId="0" applyFont="1" applyFill="1" applyBorder="1" applyAlignment="1">
      <alignment vertical="center" wrapText="1"/>
    </xf>
    <xf numFmtId="0" fontId="31" fillId="6" borderId="10" xfId="0" applyFont="1" applyFill="1" applyBorder="1" applyAlignment="1">
      <alignment wrapText="1"/>
    </xf>
    <xf numFmtId="0" fontId="32" fillId="7" borderId="10" xfId="12" applyFont="1" applyFill="1" applyBorder="1"/>
    <xf numFmtId="3" fontId="26" fillId="0" borderId="14" xfId="12" applyNumberFormat="1" applyFont="1" applyFill="1" applyBorder="1" applyAlignment="1">
      <alignment horizontal="right" shrinkToFit="1"/>
    </xf>
    <xf numFmtId="3" fontId="26" fillId="0" borderId="22" xfId="12" applyNumberFormat="1" applyFont="1" applyFill="1" applyBorder="1" applyAlignment="1">
      <alignment horizontal="right" shrinkToFit="1"/>
    </xf>
    <xf numFmtId="3" fontId="23" fillId="0" borderId="14" xfId="12" applyNumberFormat="1" applyFont="1" applyFill="1" applyBorder="1" applyAlignment="1">
      <alignment horizontal="right" shrinkToFit="1"/>
    </xf>
    <xf numFmtId="3" fontId="23" fillId="0" borderId="22" xfId="12" applyNumberFormat="1" applyFont="1" applyFill="1" applyBorder="1" applyAlignment="1">
      <alignment horizontal="right" shrinkToFit="1"/>
    </xf>
    <xf numFmtId="3" fontId="23" fillId="0" borderId="16" xfId="12" applyNumberFormat="1" applyFont="1" applyFill="1" applyBorder="1" applyAlignment="1">
      <alignment horizontal="right" shrinkToFit="1"/>
    </xf>
    <xf numFmtId="3" fontId="23" fillId="0" borderId="15" xfId="12" applyNumberFormat="1" applyFont="1" applyFill="1" applyBorder="1" applyAlignment="1">
      <alignment horizontal="right" shrinkToFit="1"/>
    </xf>
    <xf numFmtId="3" fontId="23" fillId="0" borderId="4" xfId="12" applyNumberFormat="1" applyFont="1" applyFill="1" applyBorder="1" applyAlignment="1">
      <alignment horizontal="right" shrinkToFit="1"/>
    </xf>
    <xf numFmtId="3" fontId="26" fillId="0" borderId="15" xfId="12" applyNumberFormat="1" applyFont="1" applyFill="1" applyBorder="1" applyAlignment="1">
      <alignment horizontal="right" shrinkToFit="1"/>
    </xf>
    <xf numFmtId="3" fontId="31" fillId="6" borderId="1" xfId="0" applyNumberFormat="1" applyFont="1" applyFill="1" applyBorder="1" applyAlignment="1">
      <alignment horizontal="right" wrapText="1"/>
    </xf>
    <xf numFmtId="0" fontId="26" fillId="0" borderId="17" xfId="12" applyFont="1" applyBorder="1" applyAlignment="1">
      <alignment horizontal="center" vertical="center" wrapText="1"/>
    </xf>
    <xf numFmtId="3" fontId="26" fillId="0" borderId="16" xfId="12" applyNumberFormat="1" applyFont="1" applyFill="1" applyBorder="1" applyAlignment="1">
      <alignment horizontal="right" shrinkToFit="1"/>
    </xf>
    <xf numFmtId="3" fontId="32" fillId="7" borderId="1" xfId="12" applyNumberFormat="1" applyFont="1" applyFill="1" applyBorder="1" applyAlignment="1">
      <alignment horizontal="right" shrinkToFit="1"/>
    </xf>
    <xf numFmtId="3" fontId="27" fillId="0" borderId="14" xfId="12" applyNumberFormat="1" applyFont="1" applyFill="1" applyBorder="1" applyAlignment="1">
      <alignment wrapText="1"/>
    </xf>
    <xf numFmtId="3" fontId="27" fillId="0" borderId="17" xfId="12" applyNumberFormat="1" applyFont="1" applyFill="1" applyBorder="1" applyAlignment="1">
      <alignment wrapText="1"/>
    </xf>
    <xf numFmtId="0" fontId="27" fillId="0" borderId="59" xfId="12" applyFont="1" applyFill="1" applyBorder="1" applyAlignment="1">
      <alignment wrapText="1"/>
    </xf>
    <xf numFmtId="0" fontId="27" fillId="2" borderId="60" xfId="12" applyFont="1" applyFill="1" applyBorder="1" applyAlignment="1">
      <alignment wrapText="1"/>
    </xf>
    <xf numFmtId="0" fontId="27" fillId="2" borderId="29" xfId="12" applyFont="1" applyFill="1" applyBorder="1" applyAlignment="1">
      <alignment wrapText="1"/>
    </xf>
    <xf numFmtId="0" fontId="27" fillId="0" borderId="29" xfId="12" applyFont="1" applyFill="1" applyBorder="1" applyAlignment="1">
      <alignment horizontal="left" wrapText="1"/>
    </xf>
    <xf numFmtId="0" fontId="27" fillId="0" borderId="0" xfId="12" applyFont="1" applyFill="1" applyBorder="1" applyAlignment="1">
      <alignment horizontal="left" wrapText="1"/>
    </xf>
    <xf numFmtId="49" fontId="27" fillId="2" borderId="61" xfId="12" applyNumberFormat="1" applyFont="1" applyFill="1" applyBorder="1" applyAlignment="1">
      <alignment horizontal="center" vertical="center" wrapText="1"/>
    </xf>
    <xf numFmtId="49" fontId="27" fillId="2" borderId="57" xfId="12" applyNumberFormat="1" applyFont="1" applyFill="1" applyBorder="1" applyAlignment="1">
      <alignment horizontal="center" vertical="center" wrapText="1"/>
    </xf>
    <xf numFmtId="0" fontId="52" fillId="2" borderId="10" xfId="12" applyFont="1" applyFill="1" applyBorder="1" applyAlignment="1">
      <alignment horizontal="center" vertical="center" wrapText="1"/>
    </xf>
    <xf numFmtId="3" fontId="22" fillId="0" borderId="47" xfId="12" applyNumberFormat="1" applyFont="1" applyFill="1" applyBorder="1" applyAlignment="1">
      <alignment horizontal="center" vertical="center" wrapText="1"/>
    </xf>
    <xf numFmtId="3" fontId="23" fillId="0" borderId="39" xfId="12" applyNumberFormat="1" applyFont="1" applyFill="1" applyBorder="1" applyAlignment="1">
      <alignment horizontal="right" shrinkToFit="1"/>
    </xf>
    <xf numFmtId="3" fontId="26" fillId="0" borderId="22" xfId="12" applyNumberFormat="1" applyFont="1" applyBorder="1" applyAlignment="1">
      <alignment horizontal="right"/>
    </xf>
    <xf numFmtId="0" fontId="26" fillId="0" borderId="14" xfId="12" applyFont="1" applyBorder="1" applyAlignment="1">
      <alignment horizontal="right"/>
    </xf>
    <xf numFmtId="3" fontId="31" fillId="0" borderId="16" xfId="0" applyNumberFormat="1" applyFont="1" applyFill="1" applyBorder="1" applyAlignment="1">
      <alignment horizontal="right" wrapText="1"/>
    </xf>
    <xf numFmtId="3" fontId="30" fillId="0" borderId="16" xfId="0" applyNumberFormat="1" applyFont="1" applyFill="1" applyBorder="1" applyAlignment="1">
      <alignment horizontal="right" wrapText="1"/>
    </xf>
    <xf numFmtId="0" fontId="32" fillId="2" borderId="23" xfId="12" applyFont="1" applyFill="1" applyBorder="1" applyAlignment="1">
      <alignment horizontal="center" vertical="center" wrapText="1"/>
    </xf>
    <xf numFmtId="0" fontId="32" fillId="2" borderId="41" xfId="12" applyFont="1" applyFill="1" applyBorder="1" applyAlignment="1">
      <alignment horizontal="center" vertical="center" wrapText="1"/>
    </xf>
    <xf numFmtId="3" fontId="32" fillId="0" borderId="23" xfId="12" applyNumberFormat="1" applyFont="1" applyBorder="1" applyAlignment="1">
      <alignment horizontal="center" vertical="center" wrapText="1"/>
    </xf>
    <xf numFmtId="0" fontId="56" fillId="2" borderId="0" xfId="12" applyFont="1" applyFill="1"/>
    <xf numFmtId="3" fontId="27" fillId="2" borderId="22" xfId="12" applyNumberFormat="1" applyFont="1" applyFill="1" applyBorder="1" applyAlignment="1">
      <alignment horizontal="right" wrapText="1"/>
    </xf>
    <xf numFmtId="49" fontId="38" fillId="0" borderId="14" xfId="10" applyNumberFormat="1" applyFont="1" applyFill="1" applyBorder="1" applyAlignment="1" applyProtection="1">
      <alignment horizontal="center" vertical="center" wrapText="1"/>
    </xf>
    <xf numFmtId="49" fontId="30" fillId="0" borderId="14" xfId="10" applyNumberFormat="1" applyFont="1" applyFill="1" applyBorder="1" applyAlignment="1" applyProtection="1">
      <alignment horizontal="center" vertical="center" wrapText="1"/>
    </xf>
    <xf numFmtId="0" fontId="38" fillId="0" borderId="25" xfId="10" applyFont="1" applyFill="1" applyBorder="1" applyAlignment="1" applyProtection="1">
      <alignment horizontal="left" vertical="center" wrapText="1" indent="1"/>
    </xf>
    <xf numFmtId="49" fontId="8" fillId="0" borderId="25" xfId="10" applyNumberFormat="1" applyFont="1" applyFill="1" applyBorder="1" applyAlignment="1" applyProtection="1">
      <alignment horizontal="left" vertical="center" wrapText="1" indent="3"/>
    </xf>
    <xf numFmtId="49" fontId="40" fillId="0" borderId="25" xfId="10" applyNumberFormat="1" applyFont="1" applyFill="1" applyBorder="1" applyAlignment="1" applyProtection="1">
      <alignment horizontal="left" vertical="center" wrapText="1" indent="2"/>
    </xf>
    <xf numFmtId="0" fontId="28" fillId="0" borderId="41" xfId="0" applyFont="1" applyFill="1" applyBorder="1" applyAlignment="1" applyProtection="1">
      <alignment vertical="center" wrapText="1"/>
    </xf>
    <xf numFmtId="0" fontId="4" fillId="0" borderId="46" xfId="10" applyFont="1" applyFill="1" applyBorder="1" applyAlignment="1" applyProtection="1">
      <alignment horizontal="left" vertical="center" wrapText="1" indent="1"/>
    </xf>
    <xf numFmtId="0" fontId="2" fillId="0" borderId="38" xfId="10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8" fillId="0" borderId="36" xfId="0" applyFont="1" applyFill="1" applyBorder="1" applyAlignment="1" applyProtection="1">
      <alignment vertical="center" wrapText="1"/>
    </xf>
    <xf numFmtId="0" fontId="26" fillId="0" borderId="16" xfId="12" applyFont="1" applyBorder="1" applyAlignment="1">
      <alignment horizontal="center" vertical="center" wrapText="1"/>
    </xf>
    <xf numFmtId="0" fontId="26" fillId="0" borderId="26" xfId="12" applyFont="1" applyFill="1" applyBorder="1" applyAlignment="1">
      <alignment vertical="center" wrapText="1"/>
    </xf>
    <xf numFmtId="3" fontId="26" fillId="0" borderId="40" xfId="12" applyNumberFormat="1" applyFont="1" applyFill="1" applyBorder="1" applyAlignment="1">
      <alignment horizontal="right" shrinkToFit="1"/>
    </xf>
    <xf numFmtId="0" fontId="52" fillId="2" borderId="2" xfId="12" applyFont="1" applyFill="1" applyBorder="1" applyAlignment="1">
      <alignment horizontal="center" vertical="center" wrapText="1"/>
    </xf>
    <xf numFmtId="3" fontId="26" fillId="0" borderId="25" xfId="12" applyNumberFormat="1" applyFont="1" applyFill="1" applyBorder="1" applyAlignment="1">
      <alignment horizontal="right" shrinkToFit="1"/>
    </xf>
    <xf numFmtId="3" fontId="23" fillId="0" borderId="25" xfId="12" applyNumberFormat="1" applyFont="1" applyFill="1" applyBorder="1" applyAlignment="1">
      <alignment horizontal="right" shrinkToFit="1"/>
    </xf>
    <xf numFmtId="3" fontId="23" fillId="0" borderId="26" xfId="12" applyNumberFormat="1" applyFont="1" applyFill="1" applyBorder="1" applyAlignment="1">
      <alignment horizontal="right" shrinkToFit="1"/>
    </xf>
    <xf numFmtId="3" fontId="32" fillId="7" borderId="10" xfId="12" applyNumberFormat="1" applyFont="1" applyFill="1" applyBorder="1" applyAlignment="1">
      <alignment horizontal="right" shrinkToFit="1"/>
    </xf>
    <xf numFmtId="3" fontId="22" fillId="0" borderId="46" xfId="12" applyNumberFormat="1" applyFont="1" applyFill="1" applyBorder="1" applyAlignment="1">
      <alignment horizontal="center" vertical="center" wrapText="1"/>
    </xf>
    <xf numFmtId="3" fontId="26" fillId="0" borderId="24" xfId="12" applyNumberFormat="1" applyFont="1" applyFill="1" applyBorder="1" applyAlignment="1">
      <alignment horizontal="right" shrinkToFit="1"/>
    </xf>
    <xf numFmtId="3" fontId="31" fillId="6" borderId="10" xfId="0" applyNumberFormat="1" applyFont="1" applyFill="1" applyBorder="1" applyAlignment="1">
      <alignment horizontal="right" wrapText="1"/>
    </xf>
    <xf numFmtId="0" fontId="26" fillId="0" borderId="25" xfId="12" applyFont="1" applyBorder="1" applyAlignment="1">
      <alignment horizontal="right"/>
    </xf>
    <xf numFmtId="3" fontId="30" fillId="0" borderId="26" xfId="0" applyNumberFormat="1" applyFont="1" applyFill="1" applyBorder="1" applyAlignment="1">
      <alignment horizontal="right" wrapText="1"/>
    </xf>
    <xf numFmtId="0" fontId="52" fillId="2" borderId="19" xfId="12" applyFont="1" applyFill="1" applyBorder="1" applyAlignment="1">
      <alignment horizontal="center" vertical="center" wrapText="1"/>
    </xf>
    <xf numFmtId="0" fontId="26" fillId="0" borderId="24" xfId="12" applyFont="1" applyFill="1" applyBorder="1" applyAlignment="1">
      <alignment vertical="center" wrapText="1"/>
    </xf>
    <xf numFmtId="3" fontId="23" fillId="3" borderId="39" xfId="12" applyNumberFormat="1" applyFont="1" applyFill="1" applyBorder="1" applyAlignment="1">
      <alignment horizontal="right" shrinkToFit="1"/>
    </xf>
    <xf numFmtId="3" fontId="52" fillId="0" borderId="1" xfId="12" applyNumberFormat="1" applyFont="1" applyBorder="1" applyAlignment="1">
      <alignment horizontal="center" vertical="center" wrapText="1"/>
    </xf>
    <xf numFmtId="0" fontId="52" fillId="0" borderId="2" xfId="12" applyFont="1" applyFill="1" applyBorder="1" applyAlignment="1">
      <alignment horizontal="center" vertical="center" wrapText="1"/>
    </xf>
    <xf numFmtId="0" fontId="52" fillId="2" borderId="11" xfId="12" applyFont="1" applyFill="1" applyBorder="1" applyAlignment="1">
      <alignment horizontal="center" vertical="center" wrapText="1"/>
    </xf>
    <xf numFmtId="3" fontId="32" fillId="7" borderId="62" xfId="12" applyNumberFormat="1" applyFont="1" applyFill="1" applyBorder="1" applyAlignment="1">
      <alignment horizontal="right" shrinkToFi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49" fontId="8" fillId="0" borderId="64" xfId="0" applyNumberFormat="1" applyFont="1" applyFill="1" applyBorder="1" applyAlignment="1" applyProtection="1">
      <alignment horizontal="center" vertical="center" wrapText="1"/>
    </xf>
    <xf numFmtId="49" fontId="8" fillId="0" borderId="44" xfId="0" applyNumberFormat="1" applyFont="1" applyFill="1" applyBorder="1" applyAlignment="1" applyProtection="1">
      <alignment horizontal="center" vertical="center" wrapText="1"/>
    </xf>
    <xf numFmtId="49" fontId="8" fillId="0" borderId="48" xfId="0" applyNumberFormat="1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42" xfId="0" applyNumberFormat="1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left" vertical="center" wrapText="1" indent="1"/>
    </xf>
    <xf numFmtId="0" fontId="2" fillId="0" borderId="64" xfId="10" applyFont="1" applyFill="1" applyBorder="1" applyAlignment="1" applyProtection="1">
      <alignment horizontal="left" vertical="center" wrapText="1" indent="1"/>
    </xf>
    <xf numFmtId="49" fontId="2" fillId="0" borderId="44" xfId="10" applyNumberFormat="1" applyFont="1" applyFill="1" applyBorder="1" applyAlignment="1" applyProtection="1">
      <alignment horizontal="left" vertical="center" wrapText="1" indent="2"/>
    </xf>
    <xf numFmtId="0" fontId="2" fillId="0" borderId="42" xfId="10" applyFont="1" applyFill="1" applyBorder="1" applyAlignment="1" applyProtection="1">
      <alignment horizontal="left" vertical="center" wrapText="1" indent="1"/>
    </xf>
    <xf numFmtId="0" fontId="2" fillId="0" borderId="44" xfId="10" applyFont="1" applyFill="1" applyBorder="1" applyAlignment="1" applyProtection="1">
      <alignment horizontal="left" vertical="center" wrapText="1" indent="8"/>
    </xf>
    <xf numFmtId="0" fontId="2" fillId="0" borderId="48" xfId="10" applyFont="1" applyFill="1" applyBorder="1" applyAlignment="1" applyProtection="1">
      <alignment horizontal="left" vertical="center" wrapText="1" indent="8"/>
    </xf>
    <xf numFmtId="0" fontId="15" fillId="0" borderId="11" xfId="10" applyFont="1" applyFill="1" applyBorder="1" applyAlignment="1" applyProtection="1">
      <alignment horizontal="left" vertical="center" wrapText="1" indent="1"/>
    </xf>
    <xf numFmtId="0" fontId="8" fillId="0" borderId="21" xfId="10" applyFont="1" applyFill="1" applyBorder="1" applyAlignment="1" applyProtection="1">
      <alignment horizontal="left" vertical="center" wrapText="1" indent="1"/>
    </xf>
    <xf numFmtId="0" fontId="8" fillId="0" borderId="48" xfId="10" applyFont="1" applyFill="1" applyBorder="1" applyAlignment="1" applyProtection="1">
      <alignment horizontal="left" vertical="center" wrapText="1" indent="1"/>
    </xf>
    <xf numFmtId="0" fontId="8" fillId="0" borderId="44" xfId="10" applyFont="1" applyFill="1" applyBorder="1" applyAlignment="1" applyProtection="1">
      <alignment horizontal="left" vertical="center" wrapText="1" indent="1"/>
    </xf>
    <xf numFmtId="0" fontId="8" fillId="0" borderId="42" xfId="10" applyFont="1" applyFill="1" applyBorder="1" applyAlignment="1" applyProtection="1">
      <alignment horizontal="left" vertical="center" wrapText="1" indent="1"/>
    </xf>
    <xf numFmtId="0" fontId="15" fillId="0" borderId="42" xfId="10" applyFont="1" applyFill="1" applyBorder="1" applyAlignment="1" applyProtection="1">
      <alignment horizontal="left" vertical="center" wrapText="1" indent="1"/>
    </xf>
    <xf numFmtId="0" fontId="8" fillId="0" borderId="44" xfId="10" applyFont="1" applyFill="1" applyBorder="1" applyAlignment="1" applyProtection="1">
      <alignment horizontal="left" vertical="center" wrapText="1" indent="2"/>
    </xf>
    <xf numFmtId="0" fontId="35" fillId="0" borderId="11" xfId="0" applyFont="1" applyBorder="1" applyAlignment="1" applyProtection="1">
      <alignment horizontal="left" wrapText="1" indent="1"/>
    </xf>
    <xf numFmtId="0" fontId="36" fillId="0" borderId="0" xfId="0" applyFont="1" applyFill="1" applyBorder="1" applyAlignment="1" applyProtection="1">
      <alignment horizontal="center" vertical="center"/>
    </xf>
    <xf numFmtId="3" fontId="30" fillId="0" borderId="39" xfId="10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>
      <alignment vertical="center"/>
    </xf>
    <xf numFmtId="0" fontId="8" fillId="0" borderId="35" xfId="10" applyFont="1" applyFill="1" applyBorder="1" applyAlignment="1" applyProtection="1">
      <alignment horizontal="left" vertical="center" wrapText="1" indent="1"/>
    </xf>
    <xf numFmtId="3" fontId="8" fillId="0" borderId="35" xfId="0" applyNumberFormat="1" applyFont="1" applyFill="1" applyBorder="1" applyAlignment="1" applyProtection="1">
      <alignment wrapText="1"/>
      <protection locked="0"/>
    </xf>
    <xf numFmtId="3" fontId="30" fillId="0" borderId="35" xfId="0" applyNumberFormat="1" applyFont="1" applyFill="1" applyBorder="1" applyAlignment="1" applyProtection="1">
      <alignment wrapText="1"/>
    </xf>
    <xf numFmtId="164" fontId="4" fillId="0" borderId="2" xfId="0" applyNumberFormat="1" applyFont="1" applyFill="1" applyBorder="1" applyAlignment="1" applyProtection="1">
      <alignment vertical="center" wrapText="1"/>
    </xf>
    <xf numFmtId="3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4" xfId="0" applyFont="1" applyFill="1" applyBorder="1" applyAlignment="1" applyProtection="1">
      <alignment horizontal="right" wrapText="1"/>
    </xf>
    <xf numFmtId="3" fontId="55" fillId="0" borderId="25" xfId="0" applyNumberFormat="1" applyFont="1" applyFill="1" applyBorder="1" applyAlignment="1" applyProtection="1">
      <alignment horizontal="right" wrapText="1"/>
      <protection locked="0"/>
    </xf>
    <xf numFmtId="3" fontId="55" fillId="0" borderId="3" xfId="0" applyNumberFormat="1" applyFont="1" applyFill="1" applyBorder="1" applyAlignment="1" applyProtection="1">
      <alignment horizontal="right" wrapText="1"/>
    </xf>
    <xf numFmtId="3" fontId="2" fillId="0" borderId="3" xfId="0" applyNumberFormat="1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 wrapText="1"/>
    </xf>
    <xf numFmtId="3" fontId="2" fillId="0" borderId="3" xfId="0" applyNumberFormat="1" applyFont="1" applyFill="1" applyBorder="1" applyAlignment="1" applyProtection="1">
      <alignment horizontal="right" wrapText="1"/>
      <protection locked="0"/>
    </xf>
    <xf numFmtId="3" fontId="2" fillId="0" borderId="30" xfId="0" applyNumberFormat="1" applyFont="1" applyFill="1" applyBorder="1" applyAlignment="1" applyProtection="1">
      <alignment horizontal="right" wrapText="1"/>
      <protection locked="0"/>
    </xf>
    <xf numFmtId="3" fontId="40" fillId="0" borderId="25" xfId="0" applyNumberFormat="1" applyFont="1" applyFill="1" applyBorder="1" applyAlignment="1" applyProtection="1">
      <alignment wrapText="1"/>
      <protection locked="0"/>
    </xf>
    <xf numFmtId="3" fontId="38" fillId="0" borderId="3" xfId="0" applyNumberFormat="1" applyFont="1" applyFill="1" applyBorder="1" applyAlignment="1" applyProtection="1">
      <alignment wrapText="1"/>
    </xf>
    <xf numFmtId="3" fontId="1" fillId="0" borderId="3" xfId="0" applyNumberFormat="1" applyFont="1" applyFill="1" applyBorder="1" applyAlignment="1" applyProtection="1">
      <alignment wrapText="1"/>
    </xf>
    <xf numFmtId="164" fontId="15" fillId="0" borderId="1" xfId="0" applyNumberFormat="1" applyFont="1" applyFill="1" applyBorder="1" applyAlignment="1" applyProtection="1">
      <alignment vertical="center" wrapText="1"/>
    </xf>
    <xf numFmtId="164" fontId="2" fillId="0" borderId="15" xfId="0" applyNumberFormat="1" applyFont="1" applyFill="1" applyBorder="1" applyAlignment="1" applyProtection="1">
      <alignment vertical="center" wrapText="1"/>
      <protection locked="0"/>
    </xf>
    <xf numFmtId="164" fontId="40" fillId="0" borderId="14" xfId="0" applyNumberFormat="1" applyFont="1" applyFill="1" applyBorder="1" applyAlignment="1" applyProtection="1">
      <alignment vertical="center" wrapText="1"/>
      <protection locked="0"/>
    </xf>
    <xf numFmtId="3" fontId="8" fillId="0" borderId="14" xfId="0" applyNumberFormat="1" applyFont="1" applyFill="1" applyBorder="1" applyAlignment="1" applyProtection="1">
      <alignment vertical="center" wrapText="1"/>
      <protection locked="0"/>
    </xf>
    <xf numFmtId="3" fontId="8" fillId="0" borderId="16" xfId="0" applyNumberFormat="1" applyFont="1" applyFill="1" applyBorder="1" applyAlignment="1" applyProtection="1">
      <alignment vertical="center" wrapText="1"/>
      <protection locked="0"/>
    </xf>
    <xf numFmtId="3" fontId="31" fillId="0" borderId="1" xfId="10" applyNumberFormat="1" applyFont="1" applyFill="1" applyBorder="1" applyAlignment="1" applyProtection="1">
      <alignment vertical="center" wrapText="1"/>
    </xf>
    <xf numFmtId="3" fontId="30" fillId="0" borderId="14" xfId="10" applyNumberFormat="1" applyFont="1" applyFill="1" applyBorder="1" applyAlignment="1" applyProtection="1">
      <alignment vertical="center" wrapText="1"/>
      <protection locked="0"/>
    </xf>
    <xf numFmtId="3" fontId="30" fillId="0" borderId="16" xfId="10" applyNumberFormat="1" applyFont="1" applyFill="1" applyBorder="1" applyAlignment="1" applyProtection="1">
      <alignment vertical="center" wrapText="1"/>
      <protection locked="0"/>
    </xf>
    <xf numFmtId="3" fontId="1" fillId="0" borderId="44" xfId="10" applyNumberFormat="1" applyFont="1" applyFill="1" applyBorder="1" applyAlignment="1" applyProtection="1">
      <alignment wrapText="1"/>
      <protection locked="0"/>
    </xf>
    <xf numFmtId="3" fontId="1" fillId="0" borderId="3" xfId="10" applyNumberFormat="1" applyFont="1" applyFill="1" applyBorder="1" applyAlignment="1" applyProtection="1">
      <alignment wrapText="1"/>
      <protection locked="0"/>
    </xf>
    <xf numFmtId="3" fontId="1" fillId="0" borderId="48" xfId="10" applyNumberFormat="1" applyFont="1" applyFill="1" applyBorder="1" applyAlignment="1" applyProtection="1">
      <alignment wrapText="1"/>
      <protection locked="0"/>
    </xf>
    <xf numFmtId="3" fontId="30" fillId="0" borderId="3" xfId="0" applyNumberFormat="1" applyFont="1" applyFill="1" applyBorder="1" applyAlignment="1">
      <alignment wrapText="1"/>
    </xf>
    <xf numFmtId="3" fontId="1" fillId="0" borderId="26" xfId="10" applyNumberFormat="1" applyFont="1" applyFill="1" applyBorder="1" applyAlignment="1" applyProtection="1">
      <alignment wrapText="1"/>
      <protection locked="0"/>
    </xf>
    <xf numFmtId="3" fontId="38" fillId="0" borderId="3" xfId="10" applyNumberFormat="1" applyFont="1" applyFill="1" applyBorder="1" applyAlignment="1" applyProtection="1">
      <alignment wrapText="1"/>
      <protection locked="0"/>
    </xf>
    <xf numFmtId="3" fontId="30" fillId="0" borderId="3" xfId="10" applyNumberFormat="1" applyFont="1" applyFill="1" applyBorder="1" applyAlignment="1" applyProtection="1">
      <alignment wrapText="1"/>
      <protection locked="0"/>
    </xf>
    <xf numFmtId="0" fontId="1" fillId="0" borderId="5" xfId="10" applyFont="1" applyFill="1" applyBorder="1" applyAlignment="1" applyProtection="1">
      <alignment horizontal="left" vertical="center" wrapText="1" indent="1"/>
    </xf>
    <xf numFmtId="3" fontId="30" fillId="0" borderId="5" xfId="0" applyNumberFormat="1" applyFont="1" applyFill="1" applyBorder="1" applyAlignment="1">
      <alignment wrapText="1"/>
    </xf>
    <xf numFmtId="3" fontId="28" fillId="0" borderId="11" xfId="10" applyNumberFormat="1" applyFont="1" applyFill="1" applyBorder="1" applyAlignment="1" applyProtection="1">
      <alignment wrapText="1"/>
    </xf>
    <xf numFmtId="3" fontId="28" fillId="0" borderId="10" xfId="10" applyNumberFormat="1" applyFont="1" applyFill="1" applyBorder="1" applyAlignment="1" applyProtection="1">
      <alignment wrapText="1"/>
    </xf>
    <xf numFmtId="3" fontId="38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wrapText="1"/>
    </xf>
    <xf numFmtId="3" fontId="31" fillId="0" borderId="11" xfId="10" applyNumberFormat="1" applyFont="1" applyFill="1" applyBorder="1" applyAlignment="1" applyProtection="1">
      <alignment wrapText="1"/>
    </xf>
    <xf numFmtId="3" fontId="31" fillId="0" borderId="10" xfId="10" applyNumberFormat="1" applyFont="1" applyFill="1" applyBorder="1" applyAlignment="1" applyProtection="1">
      <alignment wrapText="1"/>
    </xf>
    <xf numFmtId="3" fontId="23" fillId="0" borderId="11" xfId="0" applyNumberFormat="1" applyFont="1" applyBorder="1" applyAlignment="1" applyProtection="1">
      <alignment wrapText="1"/>
    </xf>
    <xf numFmtId="3" fontId="23" fillId="0" borderId="10" xfId="0" applyNumberFormat="1" applyFont="1" applyBorder="1" applyAlignment="1" applyProtection="1">
      <alignment wrapText="1"/>
    </xf>
    <xf numFmtId="3" fontId="23" fillId="0" borderId="10" xfId="0" quotePrefix="1" applyNumberFormat="1" applyFont="1" applyBorder="1" applyAlignment="1" applyProtection="1">
      <alignment wrapText="1"/>
    </xf>
    <xf numFmtId="3" fontId="28" fillId="0" borderId="2" xfId="10" applyNumberFormat="1" applyFont="1" applyFill="1" applyBorder="1" applyAlignment="1" applyProtection="1">
      <alignment horizontal="right" vertical="center" wrapText="1"/>
    </xf>
    <xf numFmtId="3" fontId="1" fillId="0" borderId="15" xfId="10" applyNumberFormat="1" applyFont="1" applyFill="1" applyBorder="1" applyAlignment="1" applyProtection="1">
      <alignment horizontal="right" wrapText="1"/>
      <protection locked="0"/>
    </xf>
    <xf numFmtId="3" fontId="7" fillId="0" borderId="4" xfId="0" applyNumberFormat="1" applyFont="1" applyFill="1" applyBorder="1" applyAlignment="1">
      <alignment horizontal="right" vertical="center" wrapText="1"/>
    </xf>
    <xf numFmtId="3" fontId="1" fillId="0" borderId="14" xfId="10" applyNumberFormat="1" applyFont="1" applyFill="1" applyBorder="1" applyAlignment="1" applyProtection="1">
      <alignment horizontal="right" wrapText="1"/>
      <protection locked="0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16" xfId="10" applyNumberFormat="1" applyFont="1" applyFill="1" applyBorder="1" applyAlignment="1" applyProtection="1">
      <alignment horizontal="right" wrapText="1"/>
      <protection locked="0"/>
    </xf>
    <xf numFmtId="3" fontId="30" fillId="0" borderId="5" xfId="0" applyNumberFormat="1" applyFont="1" applyFill="1" applyBorder="1" applyAlignment="1">
      <alignment horizontal="right" vertical="center" wrapText="1"/>
    </xf>
    <xf numFmtId="3" fontId="1" fillId="0" borderId="13" xfId="10" applyNumberFormat="1" applyFont="1" applyFill="1" applyBorder="1" applyAlignment="1" applyProtection="1">
      <alignment horizontal="right" wrapText="1"/>
      <protection locked="0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1" fillId="0" borderId="3" xfId="10" applyNumberFormat="1" applyFont="1" applyFill="1" applyBorder="1" applyAlignment="1" applyProtection="1">
      <alignment horizontal="right" vertical="center" wrapText="1"/>
      <protection locked="0"/>
    </xf>
    <xf numFmtId="3" fontId="1" fillId="0" borderId="34" xfId="10" applyNumberFormat="1" applyFont="1" applyFill="1" applyBorder="1" applyAlignment="1" applyProtection="1">
      <alignment horizontal="right" wrapText="1"/>
      <protection locked="0"/>
    </xf>
    <xf numFmtId="3" fontId="1" fillId="0" borderId="35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15" xfId="10" applyNumberFormat="1" applyFont="1" applyFill="1" applyBorder="1" applyAlignment="1" applyProtection="1">
      <alignment horizontal="right" wrapText="1"/>
    </xf>
    <xf numFmtId="3" fontId="38" fillId="0" borderId="14" xfId="10" applyNumberFormat="1" applyFont="1" applyFill="1" applyBorder="1" applyAlignment="1" applyProtection="1">
      <alignment horizontal="right" wrapText="1"/>
      <protection locked="0"/>
    </xf>
    <xf numFmtId="3" fontId="8" fillId="0" borderId="14" xfId="0" applyNumberFormat="1" applyFont="1" applyFill="1" applyBorder="1" applyAlignment="1" applyProtection="1">
      <alignment horizontal="right" wrapText="1"/>
      <protection locked="0"/>
    </xf>
    <xf numFmtId="3" fontId="30" fillId="0" borderId="3" xfId="0" applyNumberFormat="1" applyFont="1" applyFill="1" applyBorder="1" applyAlignment="1">
      <alignment horizontal="right" vertical="center" wrapText="1"/>
    </xf>
    <xf numFmtId="3" fontId="30" fillId="0" borderId="14" xfId="10" applyNumberFormat="1" applyFont="1" applyFill="1" applyBorder="1" applyAlignment="1" applyProtection="1">
      <alignment horizontal="right" wrapText="1"/>
      <protection locked="0"/>
    </xf>
    <xf numFmtId="3" fontId="30" fillId="0" borderId="16" xfId="10" applyNumberFormat="1" applyFont="1" applyFill="1" applyBorder="1" applyAlignment="1" applyProtection="1">
      <alignment horizontal="right" wrapText="1"/>
      <protection locked="0"/>
    </xf>
    <xf numFmtId="3" fontId="30" fillId="0" borderId="15" xfId="10" applyNumberFormat="1" applyFont="1" applyFill="1" applyBorder="1" applyAlignment="1" applyProtection="1">
      <alignment horizontal="right" wrapText="1"/>
      <protection locked="0"/>
    </xf>
    <xf numFmtId="3" fontId="30" fillId="0" borderId="4" xfId="10" applyNumberFormat="1" applyFont="1" applyFill="1" applyBorder="1" applyAlignment="1" applyProtection="1">
      <alignment horizontal="right" vertical="center" wrapText="1"/>
      <protection locked="0"/>
    </xf>
    <xf numFmtId="3" fontId="38" fillId="0" borderId="3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28" fillId="0" borderId="1" xfId="10" applyNumberFormat="1" applyFont="1" applyFill="1" applyBorder="1" applyAlignment="1" applyProtection="1">
      <alignment horizontal="right" wrapText="1"/>
      <protection locked="0"/>
    </xf>
    <xf numFmtId="3" fontId="7" fillId="0" borderId="2" xfId="0" applyNumberFormat="1" applyFont="1" applyFill="1" applyBorder="1" applyAlignment="1">
      <alignment horizontal="right" vertical="center" wrapText="1"/>
    </xf>
    <xf numFmtId="3" fontId="31" fillId="0" borderId="2" xfId="10" applyNumberFormat="1" applyFont="1" applyFill="1" applyBorder="1" applyAlignment="1" applyProtection="1">
      <alignment horizontal="right" vertical="center" wrapText="1"/>
    </xf>
    <xf numFmtId="3" fontId="28" fillId="0" borderId="41" xfId="10" applyNumberFormat="1" applyFont="1" applyFill="1" applyBorder="1" applyAlignment="1" applyProtection="1">
      <alignment vertical="center" wrapText="1"/>
    </xf>
    <xf numFmtId="3" fontId="1" fillId="0" borderId="60" xfId="10" applyNumberFormat="1" applyFont="1" applyFill="1" applyBorder="1" applyAlignment="1" applyProtection="1">
      <alignment vertical="center" wrapText="1"/>
      <protection locked="0"/>
    </xf>
    <xf numFmtId="3" fontId="1" fillId="0" borderId="65" xfId="10" applyNumberFormat="1" applyFont="1" applyFill="1" applyBorder="1" applyAlignment="1" applyProtection="1">
      <alignment horizontal="right" vertical="center" wrapText="1"/>
      <protection locked="0"/>
    </xf>
    <xf numFmtId="3" fontId="30" fillId="0" borderId="50" xfId="0" applyNumberFormat="1" applyFont="1" applyFill="1" applyBorder="1" applyAlignment="1">
      <alignment horizontal="right" vertical="center" wrapText="1"/>
    </xf>
    <xf numFmtId="3" fontId="1" fillId="0" borderId="29" xfId="10" applyNumberFormat="1" applyFont="1" applyFill="1" applyBorder="1" applyAlignment="1" applyProtection="1">
      <alignment vertical="center" wrapText="1"/>
      <protection locked="0"/>
    </xf>
    <xf numFmtId="3" fontId="30" fillId="0" borderId="51" xfId="0" applyNumberFormat="1" applyFont="1" applyFill="1" applyBorder="1" applyAlignment="1">
      <alignment horizontal="right" vertical="center" wrapText="1"/>
    </xf>
    <xf numFmtId="3" fontId="1" fillId="0" borderId="64" xfId="10" applyNumberFormat="1" applyFont="1" applyFill="1" applyBorder="1" applyAlignment="1" applyProtection="1">
      <alignment horizontal="right" wrapText="1"/>
      <protection locked="0"/>
    </xf>
    <xf numFmtId="3" fontId="38" fillId="0" borderId="50" xfId="0" applyNumberFormat="1" applyFont="1" applyFill="1" applyBorder="1" applyAlignment="1">
      <alignment horizontal="right" vertical="center" wrapText="1"/>
    </xf>
    <xf numFmtId="3" fontId="1" fillId="0" borderId="44" xfId="10" applyNumberFormat="1" applyFont="1" applyFill="1" applyBorder="1" applyAlignment="1" applyProtection="1">
      <alignment horizontal="right" wrapText="1"/>
      <protection locked="0"/>
    </xf>
    <xf numFmtId="3" fontId="38" fillId="0" borderId="34" xfId="10" applyNumberFormat="1" applyFont="1" applyFill="1" applyBorder="1" applyAlignment="1" applyProtection="1">
      <alignment horizontal="right" wrapText="1"/>
      <protection locked="0"/>
    </xf>
    <xf numFmtId="3" fontId="38" fillId="0" borderId="51" xfId="0" applyNumberFormat="1" applyFont="1" applyFill="1" applyBorder="1" applyAlignment="1">
      <alignment horizontal="right" vertical="center" wrapText="1"/>
    </xf>
    <xf numFmtId="3" fontId="28" fillId="0" borderId="2" xfId="10" applyNumberFormat="1" applyFont="1" applyFill="1" applyBorder="1" applyAlignment="1" applyProtection="1">
      <alignment wrapText="1"/>
    </xf>
    <xf numFmtId="164" fontId="31" fillId="0" borderId="19" xfId="0" applyNumberFormat="1" applyFont="1" applyFill="1" applyBorder="1" applyAlignment="1" applyProtection="1">
      <alignment wrapText="1"/>
      <protection locked="0"/>
    </xf>
    <xf numFmtId="164" fontId="4" fillId="0" borderId="36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3" fontId="30" fillId="0" borderId="28" xfId="0" applyNumberFormat="1" applyFont="1" applyFill="1" applyBorder="1" applyAlignment="1">
      <alignment horizontal="right" wrapText="1"/>
    </xf>
    <xf numFmtId="3" fontId="30" fillId="0" borderId="25" xfId="0" applyNumberFormat="1" applyFont="1" applyFill="1" applyBorder="1" applyAlignment="1">
      <alignment horizontal="right" wrapText="1"/>
    </xf>
    <xf numFmtId="3" fontId="30" fillId="0" borderId="38" xfId="0" applyNumberFormat="1" applyFont="1" applyFill="1" applyBorder="1" applyAlignment="1">
      <alignment horizontal="right" wrapText="1"/>
    </xf>
    <xf numFmtId="3" fontId="28" fillId="0" borderId="10" xfId="10" applyNumberFormat="1" applyFont="1" applyFill="1" applyBorder="1" applyAlignment="1" applyProtection="1">
      <alignment horizontal="right" wrapText="1"/>
    </xf>
    <xf numFmtId="3" fontId="7" fillId="0" borderId="28" xfId="0" applyNumberFormat="1" applyFont="1" applyFill="1" applyBorder="1" applyAlignment="1">
      <alignment horizontal="right" wrapText="1"/>
    </xf>
    <xf numFmtId="3" fontId="7" fillId="0" borderId="25" xfId="0" applyNumberFormat="1" applyFont="1" applyFill="1" applyBorder="1" applyAlignment="1">
      <alignment horizontal="right" wrapText="1"/>
    </xf>
    <xf numFmtId="3" fontId="1" fillId="0" borderId="25" xfId="10" applyNumberFormat="1" applyFont="1" applyFill="1" applyBorder="1" applyAlignment="1" applyProtection="1">
      <alignment horizontal="right" wrapText="1"/>
      <protection locked="0"/>
    </xf>
    <xf numFmtId="3" fontId="1" fillId="0" borderId="25" xfId="0" applyNumberFormat="1" applyFont="1" applyFill="1" applyBorder="1" applyAlignment="1">
      <alignment horizontal="right" wrapText="1"/>
    </xf>
    <xf numFmtId="3" fontId="1" fillId="0" borderId="28" xfId="0" applyNumberFormat="1" applyFont="1" applyFill="1" applyBorder="1" applyAlignment="1">
      <alignment horizontal="right" wrapText="1"/>
    </xf>
    <xf numFmtId="3" fontId="31" fillId="0" borderId="10" xfId="10" applyNumberFormat="1" applyFont="1" applyFill="1" applyBorder="1" applyAlignment="1" applyProtection="1">
      <alignment horizontal="right" wrapText="1"/>
    </xf>
    <xf numFmtId="3" fontId="38" fillId="0" borderId="25" xfId="0" applyNumberFormat="1" applyFont="1" applyFill="1" applyBorder="1" applyAlignment="1">
      <alignment horizontal="right" wrapText="1"/>
    </xf>
    <xf numFmtId="3" fontId="1" fillId="0" borderId="26" xfId="0" applyNumberFormat="1" applyFont="1" applyFill="1" applyBorder="1" applyAlignment="1">
      <alignment horizontal="right" wrapText="1"/>
    </xf>
    <xf numFmtId="3" fontId="38" fillId="0" borderId="25" xfId="10" applyNumberFormat="1" applyFont="1" applyFill="1" applyBorder="1" applyAlignment="1" applyProtection="1">
      <alignment horizontal="right" wrapText="1"/>
      <protection locked="0"/>
    </xf>
    <xf numFmtId="3" fontId="1" fillId="0" borderId="24" xfId="0" applyNumberFormat="1" applyFont="1" applyFill="1" applyBorder="1" applyAlignment="1">
      <alignment horizontal="right" wrapText="1"/>
    </xf>
    <xf numFmtId="3" fontId="30" fillId="0" borderId="25" xfId="10" applyNumberFormat="1" applyFont="1" applyFill="1" applyBorder="1" applyAlignment="1" applyProtection="1">
      <alignment horizontal="right" wrapText="1"/>
      <protection locked="0"/>
    </xf>
    <xf numFmtId="3" fontId="30" fillId="0" borderId="24" xfId="10" applyNumberFormat="1" applyFont="1" applyFill="1" applyBorder="1" applyAlignment="1" applyProtection="1">
      <alignment horizontal="right" wrapText="1"/>
      <protection locked="0"/>
    </xf>
    <xf numFmtId="3" fontId="7" fillId="0" borderId="26" xfId="0" applyNumberFormat="1" applyFont="1" applyFill="1" applyBorder="1" applyAlignment="1">
      <alignment horizontal="right" wrapText="1"/>
    </xf>
    <xf numFmtId="3" fontId="7" fillId="0" borderId="10" xfId="0" applyNumberFormat="1" applyFont="1" applyFill="1" applyBorder="1" applyAlignment="1">
      <alignment horizontal="right" wrapText="1"/>
    </xf>
    <xf numFmtId="164" fontId="28" fillId="0" borderId="10" xfId="10" applyNumberFormat="1" applyFont="1" applyFill="1" applyBorder="1" applyAlignment="1" applyProtection="1">
      <alignment vertical="center" wrapText="1"/>
    </xf>
    <xf numFmtId="3" fontId="30" fillId="0" borderId="24" xfId="0" applyNumberFormat="1" applyFont="1" applyFill="1" applyBorder="1" applyAlignment="1">
      <alignment vertical="center" wrapText="1"/>
    </xf>
    <xf numFmtId="3" fontId="30" fillId="0" borderId="25" xfId="0" applyNumberFormat="1" applyFont="1" applyFill="1" applyBorder="1" applyAlignment="1">
      <alignment vertical="center" wrapText="1"/>
    </xf>
    <xf numFmtId="3" fontId="1" fillId="0" borderId="25" xfId="10" applyNumberFormat="1" applyFont="1" applyFill="1" applyBorder="1" applyAlignment="1" applyProtection="1">
      <alignment vertical="center" wrapText="1"/>
      <protection locked="0"/>
    </xf>
    <xf numFmtId="3" fontId="30" fillId="0" borderId="26" xfId="0" applyNumberFormat="1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164" fontId="23" fillId="0" borderId="10" xfId="0" applyNumberFormat="1" applyFont="1" applyBorder="1" applyAlignment="1" applyProtection="1">
      <alignment horizontal="right" vertical="center" wrapText="1" indent="1"/>
    </xf>
    <xf numFmtId="164" fontId="23" fillId="0" borderId="10" xfId="0" quotePrefix="1" applyNumberFormat="1" applyFont="1" applyBorder="1" applyAlignment="1" applyProtection="1">
      <alignment vertical="center" wrapText="1"/>
    </xf>
    <xf numFmtId="0" fontId="7" fillId="0" borderId="66" xfId="0" applyFont="1" applyFill="1" applyBorder="1" applyAlignment="1">
      <alignment vertical="center" wrapText="1"/>
    </xf>
    <xf numFmtId="3" fontId="1" fillId="0" borderId="35" xfId="0" applyNumberFormat="1" applyFont="1" applyFill="1" applyBorder="1" applyAlignment="1">
      <alignment horizontal="right" wrapText="1"/>
    </xf>
    <xf numFmtId="0" fontId="1" fillId="0" borderId="6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3" fontId="1" fillId="0" borderId="7" xfId="10" applyNumberFormat="1" applyFont="1" applyFill="1" applyBorder="1" applyAlignment="1" applyProtection="1">
      <alignment horizontal="right" wrapText="1"/>
    </xf>
    <xf numFmtId="3" fontId="1" fillId="0" borderId="28" xfId="10" applyNumberFormat="1" applyFont="1" applyFill="1" applyBorder="1" applyAlignment="1" applyProtection="1">
      <alignment horizontal="right" wrapText="1"/>
    </xf>
    <xf numFmtId="3" fontId="1" fillId="0" borderId="66" xfId="10" applyNumberFormat="1" applyFont="1" applyFill="1" applyBorder="1" applyAlignment="1" applyProtection="1">
      <alignment horizontal="right" wrapText="1"/>
    </xf>
    <xf numFmtId="3" fontId="30" fillId="0" borderId="7" xfId="10" applyNumberFormat="1" applyFont="1" applyFill="1" applyBorder="1" applyAlignment="1" applyProtection="1">
      <alignment horizontal="right" wrapText="1"/>
      <protection locked="0"/>
    </xf>
    <xf numFmtId="3" fontId="30" fillId="0" borderId="22" xfId="10" applyNumberFormat="1" applyFont="1" applyFill="1" applyBorder="1" applyAlignment="1" applyProtection="1">
      <alignment horizontal="right" wrapText="1"/>
      <protection locked="0"/>
    </xf>
    <xf numFmtId="0" fontId="30" fillId="0" borderId="19" xfId="0" applyFont="1" applyFill="1" applyBorder="1" applyAlignment="1">
      <alignment vertical="center" wrapText="1"/>
    </xf>
    <xf numFmtId="0" fontId="30" fillId="0" borderId="39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4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30" fillId="0" borderId="5" xfId="10" applyNumberFormat="1" applyFont="1" applyFill="1" applyBorder="1" applyAlignment="1" applyProtection="1">
      <alignment vertical="center" wrapText="1"/>
      <protection locked="0"/>
    </xf>
    <xf numFmtId="164" fontId="31" fillId="0" borderId="10" xfId="10" applyNumberFormat="1" applyFont="1" applyFill="1" applyBorder="1" applyAlignment="1" applyProtection="1">
      <alignment horizontal="right" vertical="center" wrapText="1" indent="1"/>
    </xf>
    <xf numFmtId="164" fontId="23" fillId="0" borderId="2" xfId="0" quotePrefix="1" applyNumberFormat="1" applyFont="1" applyBorder="1" applyAlignment="1" applyProtection="1">
      <alignment wrapText="1"/>
    </xf>
    <xf numFmtId="0" fontId="37" fillId="0" borderId="3" xfId="0" applyFont="1" applyBorder="1" applyAlignment="1" applyProtection="1">
      <alignment horizontal="left" vertical="center" wrapText="1" indent="1"/>
    </xf>
    <xf numFmtId="49" fontId="26" fillId="0" borderId="14" xfId="0" applyNumberFormat="1" applyFont="1" applyBorder="1" applyAlignment="1" applyProtection="1">
      <alignment horizontal="center" vertical="center" wrapText="1"/>
    </xf>
    <xf numFmtId="49" fontId="37" fillId="0" borderId="14" xfId="0" applyNumberFormat="1" applyFont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</xf>
    <xf numFmtId="0" fontId="22" fillId="0" borderId="23" xfId="12" applyFont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right" wrapText="1"/>
    </xf>
    <xf numFmtId="164" fontId="2" fillId="0" borderId="3" xfId="0" applyNumberFormat="1" applyFont="1" applyFill="1" applyBorder="1" applyAlignment="1" applyProtection="1">
      <alignment horizontal="right" wrapText="1"/>
      <protection locked="0"/>
    </xf>
    <xf numFmtId="164" fontId="40" fillId="0" borderId="3" xfId="0" applyNumberFormat="1" applyFont="1" applyFill="1" applyBorder="1" applyAlignment="1" applyProtection="1">
      <alignment horizontal="right" wrapText="1"/>
      <protection locked="0"/>
    </xf>
    <xf numFmtId="3" fontId="40" fillId="0" borderId="3" xfId="0" applyNumberFormat="1" applyFont="1" applyFill="1" applyBorder="1" applyAlignment="1" applyProtection="1">
      <alignment horizontal="right" wrapText="1"/>
      <protection locked="0"/>
    </xf>
    <xf numFmtId="0" fontId="2" fillId="0" borderId="5" xfId="0" applyFont="1" applyFill="1" applyBorder="1" applyAlignment="1" applyProtection="1">
      <alignment horizontal="right" wrapText="1"/>
    </xf>
    <xf numFmtId="0" fontId="1" fillId="0" borderId="4" xfId="0" applyFont="1" applyFill="1" applyBorder="1" applyAlignment="1" applyProtection="1">
      <alignment horizontal="right" wrapText="1"/>
    </xf>
    <xf numFmtId="0" fontId="2" fillId="0" borderId="5" xfId="10" applyFont="1" applyFill="1" applyBorder="1" applyAlignment="1" applyProtection="1">
      <alignment horizontal="left" vertical="center" wrapText="1" indent="8"/>
    </xf>
    <xf numFmtId="3" fontId="1" fillId="0" borderId="5" xfId="0" applyNumberFormat="1" applyFont="1" applyFill="1" applyBorder="1" applyAlignment="1" applyProtection="1">
      <alignment horizontal="right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8" xfId="10" applyFont="1" applyFill="1" applyBorder="1" applyAlignment="1" applyProtection="1">
      <alignment horizontal="left" vertical="center" wrapText="1" indent="1"/>
    </xf>
    <xf numFmtId="164" fontId="15" fillId="0" borderId="0" xfId="0" applyNumberFormat="1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wrapText="1"/>
    </xf>
    <xf numFmtId="0" fontId="7" fillId="0" borderId="5" xfId="0" applyFont="1" applyFill="1" applyBorder="1" applyAlignment="1" applyProtection="1">
      <alignment horizontal="right" wrapText="1"/>
    </xf>
    <xf numFmtId="3" fontId="8" fillId="0" borderId="24" xfId="0" applyNumberFormat="1" applyFont="1" applyFill="1" applyBorder="1" applyAlignment="1" applyProtection="1">
      <alignment horizontal="right" wrapText="1"/>
      <protection locked="0"/>
    </xf>
    <xf numFmtId="3" fontId="30" fillId="0" borderId="4" xfId="0" applyNumberFormat="1" applyFont="1" applyFill="1" applyBorder="1" applyAlignment="1" applyProtection="1">
      <alignment horizontal="right" wrapText="1"/>
    </xf>
    <xf numFmtId="3" fontId="4" fillId="0" borderId="2" xfId="0" applyNumberFormat="1" applyFont="1" applyFill="1" applyBorder="1" applyAlignment="1" applyProtection="1">
      <alignment horizontal="right" wrapText="1"/>
    </xf>
    <xf numFmtId="3" fontId="8" fillId="0" borderId="25" xfId="0" applyNumberFormat="1" applyFont="1" applyFill="1" applyBorder="1" applyAlignment="1" applyProtection="1">
      <alignment wrapText="1"/>
    </xf>
    <xf numFmtId="3" fontId="8" fillId="0" borderId="24" xfId="0" applyNumberFormat="1" applyFont="1" applyFill="1" applyBorder="1" applyAlignment="1" applyProtection="1">
      <alignment wrapText="1"/>
    </xf>
    <xf numFmtId="0" fontId="0" fillId="0" borderId="25" xfId="0" applyFill="1" applyBorder="1" applyAlignment="1" applyProtection="1">
      <alignment vertical="center" wrapText="1"/>
    </xf>
    <xf numFmtId="0" fontId="22" fillId="0" borderId="52" xfId="12" applyFont="1" applyBorder="1" applyAlignment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164" fontId="4" fillId="0" borderId="52" xfId="0" applyNumberFormat="1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0" fillId="0" borderId="5" xfId="0" applyNumberFormat="1" applyFill="1" applyBorder="1" applyAlignment="1" applyProtection="1">
      <alignment wrapText="1"/>
    </xf>
    <xf numFmtId="3" fontId="0" fillId="0" borderId="26" xfId="0" applyNumberFormat="1" applyFill="1" applyBorder="1" applyAlignment="1" applyProtection="1">
      <alignment wrapText="1"/>
    </xf>
    <xf numFmtId="0" fontId="6" fillId="0" borderId="24" xfId="0" applyFont="1" applyFill="1" applyBorder="1" applyAlignment="1" applyProtection="1">
      <alignment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6" xfId="0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vertical="center" wrapText="1"/>
    </xf>
    <xf numFmtId="3" fontId="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7" xfId="0" applyNumberFormat="1" applyFont="1" applyFill="1" applyBorder="1" applyAlignment="1" applyProtection="1">
      <alignment wrapText="1"/>
      <protection locked="0"/>
    </xf>
    <xf numFmtId="3" fontId="0" fillId="0" borderId="9" xfId="0" applyNumberFormat="1" applyFill="1" applyBorder="1" applyAlignment="1" applyProtection="1">
      <alignment wrapText="1"/>
    </xf>
    <xf numFmtId="164" fontId="40" fillId="0" borderId="4" xfId="0" applyNumberFormat="1" applyFont="1" applyFill="1" applyBorder="1" applyAlignment="1" applyProtection="1">
      <alignment horizontal="right" wrapTex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0" applyNumberFormat="1" applyFont="1" applyFill="1" applyBorder="1" applyAlignment="1" applyProtection="1">
      <alignment horizontal="right" wrapText="1"/>
    </xf>
    <xf numFmtId="0" fontId="1" fillId="0" borderId="9" xfId="0" applyFont="1" applyFill="1" applyBorder="1" applyAlignment="1" applyProtection="1">
      <alignment horizontal="right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horizontal="left" vertical="center" wrapText="1" indent="1"/>
    </xf>
    <xf numFmtId="0" fontId="3" fillId="0" borderId="23" xfId="0" applyFont="1" applyFill="1" applyBorder="1" applyAlignment="1">
      <alignment horizontal="center" vertical="center" wrapText="1"/>
    </xf>
    <xf numFmtId="164" fontId="40" fillId="0" borderId="3" xfId="10" applyNumberFormat="1" applyFont="1" applyFill="1" applyBorder="1" applyAlignment="1" applyProtection="1">
      <alignment vertical="center" wrapText="1"/>
      <protection locked="0"/>
    </xf>
    <xf numFmtId="3" fontId="2" fillId="0" borderId="3" xfId="10" applyNumberFormat="1" applyFont="1" applyFill="1" applyBorder="1" applyAlignment="1" applyProtection="1">
      <alignment vertical="center" wrapText="1"/>
      <protection locked="0"/>
    </xf>
    <xf numFmtId="3" fontId="40" fillId="0" borderId="3" xfId="10" applyNumberFormat="1" applyFont="1" applyFill="1" applyBorder="1" applyAlignment="1" applyProtection="1">
      <alignment vertical="center" wrapText="1"/>
      <protection locked="0"/>
    </xf>
    <xf numFmtId="3" fontId="2" fillId="0" borderId="3" xfId="0" applyNumberFormat="1" applyFont="1" applyFill="1" applyBorder="1" applyAlignment="1">
      <alignment vertical="center" wrapText="1"/>
    </xf>
    <xf numFmtId="3" fontId="55" fillId="0" borderId="3" xfId="10" applyNumberFormat="1" applyFont="1" applyFill="1" applyBorder="1" applyAlignment="1" applyProtection="1">
      <alignment vertical="center" wrapText="1"/>
      <protection locked="0"/>
    </xf>
    <xf numFmtId="3" fontId="40" fillId="0" borderId="3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164" fontId="8" fillId="0" borderId="14" xfId="10" applyNumberFormat="1" applyFont="1" applyFill="1" applyBorder="1" applyAlignment="1" applyProtection="1">
      <alignment vertical="center" wrapText="1"/>
      <protection locked="0"/>
    </xf>
    <xf numFmtId="164" fontId="2" fillId="0" borderId="14" xfId="10" applyNumberFormat="1" applyFont="1" applyFill="1" applyBorder="1" applyAlignment="1" applyProtection="1">
      <alignment vertical="center" wrapText="1"/>
      <protection locked="0"/>
    </xf>
    <xf numFmtId="164" fontId="40" fillId="0" borderId="14" xfId="10" applyNumberFormat="1" applyFont="1" applyFill="1" applyBorder="1" applyAlignment="1" applyProtection="1">
      <alignment vertical="center" wrapText="1"/>
      <protection locked="0"/>
    </xf>
    <xf numFmtId="3" fontId="8" fillId="0" borderId="14" xfId="10" applyNumberFormat="1" applyFont="1" applyFill="1" applyBorder="1" applyAlignment="1" applyProtection="1">
      <alignment vertical="center" wrapText="1"/>
      <protection locked="0"/>
    </xf>
    <xf numFmtId="3" fontId="2" fillId="0" borderId="14" xfId="10" applyNumberFormat="1" applyFont="1" applyFill="1" applyBorder="1" applyAlignment="1" applyProtection="1">
      <alignment vertical="center" wrapText="1"/>
      <protection locked="0"/>
    </xf>
    <xf numFmtId="3" fontId="40" fillId="0" borderId="14" xfId="10" applyNumberFormat="1" applyFont="1" applyFill="1" applyBorder="1" applyAlignment="1" applyProtection="1">
      <alignment vertical="center" wrapText="1"/>
      <protection locked="0"/>
    </xf>
    <xf numFmtId="3" fontId="55" fillId="0" borderId="14" xfId="10" applyNumberFormat="1" applyFont="1" applyFill="1" applyBorder="1" applyAlignment="1" applyProtection="1">
      <alignment vertical="center" wrapText="1"/>
      <protection locked="0"/>
    </xf>
    <xf numFmtId="164" fontId="8" fillId="0" borderId="15" xfId="10" applyNumberFormat="1" applyFont="1" applyFill="1" applyBorder="1" applyAlignment="1" applyProtection="1">
      <alignment vertical="center" wrapText="1"/>
      <protection locked="0"/>
    </xf>
    <xf numFmtId="164" fontId="4" fillId="0" borderId="1" xfId="10" applyNumberFormat="1" applyFont="1" applyFill="1" applyBorder="1" applyAlignment="1" applyProtection="1">
      <alignment vertical="center" wrapText="1"/>
    </xf>
    <xf numFmtId="164" fontId="4" fillId="0" borderId="2" xfId="10" applyNumberFormat="1" applyFont="1" applyFill="1" applyBorder="1" applyAlignment="1" applyProtection="1">
      <alignment vertical="center" wrapText="1"/>
    </xf>
    <xf numFmtId="164" fontId="8" fillId="0" borderId="16" xfId="10" applyNumberFormat="1" applyFont="1" applyFill="1" applyBorder="1" applyAlignment="1" applyProtection="1">
      <alignment vertical="center" wrapText="1"/>
      <protection locked="0"/>
    </xf>
    <xf numFmtId="164" fontId="2" fillId="0" borderId="15" xfId="10" applyNumberFormat="1" applyFont="1" applyFill="1" applyBorder="1" applyAlignment="1" applyProtection="1">
      <alignment vertical="center" wrapText="1"/>
      <protection locked="0"/>
    </xf>
    <xf numFmtId="3" fontId="8" fillId="0" borderId="16" xfId="10" applyNumberFormat="1" applyFont="1" applyFill="1" applyBorder="1" applyAlignment="1" applyProtection="1">
      <alignment vertical="center" wrapText="1"/>
      <protection locked="0"/>
    </xf>
    <xf numFmtId="3" fontId="2" fillId="0" borderId="15" xfId="10" applyNumberFormat="1" applyFont="1" applyFill="1" applyBorder="1" applyAlignment="1" applyProtection="1">
      <alignment vertical="center" wrapText="1"/>
      <protection locked="0"/>
    </xf>
    <xf numFmtId="3" fontId="2" fillId="0" borderId="16" xfId="1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vertical="center" wrapText="1"/>
    </xf>
    <xf numFmtId="3" fontId="2" fillId="0" borderId="15" xfId="10" applyNumberFormat="1" applyFont="1" applyFill="1" applyBorder="1" applyAlignment="1" applyProtection="1">
      <alignment vertical="center" wrapText="1"/>
    </xf>
    <xf numFmtId="3" fontId="2" fillId="0" borderId="4" xfId="10" applyNumberFormat="1" applyFont="1" applyFill="1" applyBorder="1" applyAlignment="1" applyProtection="1">
      <alignment vertical="center" wrapText="1"/>
    </xf>
    <xf numFmtId="3" fontId="15" fillId="0" borderId="1" xfId="10" applyNumberFormat="1" applyFont="1" applyFill="1" applyBorder="1" applyAlignment="1" applyProtection="1">
      <alignment vertical="center" wrapText="1"/>
    </xf>
    <xf numFmtId="3" fontId="15" fillId="0" borderId="2" xfId="1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vertical="center" wrapText="1"/>
    </xf>
    <xf numFmtId="3" fontId="4" fillId="0" borderId="1" xfId="10" applyNumberFormat="1" applyFont="1" applyFill="1" applyBorder="1" applyAlignment="1" applyProtection="1">
      <alignment vertical="center" wrapText="1"/>
    </xf>
    <xf numFmtId="3" fontId="4" fillId="0" borderId="2" xfId="10" applyNumberFormat="1" applyFont="1" applyFill="1" applyBorder="1" applyAlignment="1" applyProtection="1">
      <alignment vertical="center" wrapText="1"/>
    </xf>
    <xf numFmtId="3" fontId="8" fillId="0" borderId="15" xfId="10" applyNumberFormat="1" applyFont="1" applyFill="1" applyBorder="1" applyAlignment="1" applyProtection="1">
      <alignment vertical="center" wrapText="1"/>
      <protection locked="0"/>
    </xf>
    <xf numFmtId="164" fontId="2" fillId="0" borderId="16" xfId="10" applyNumberFormat="1" applyFont="1" applyFill="1" applyBorder="1" applyAlignment="1" applyProtection="1">
      <alignment vertical="center" wrapText="1"/>
      <protection locked="0"/>
    </xf>
    <xf numFmtId="164" fontId="15" fillId="0" borderId="1" xfId="10" applyNumberFormat="1" applyFont="1" applyFill="1" applyBorder="1" applyAlignment="1" applyProtection="1">
      <alignment vertical="center" wrapText="1"/>
    </xf>
    <xf numFmtId="164" fontId="15" fillId="0" borderId="2" xfId="10" applyNumberFormat="1" applyFont="1" applyFill="1" applyBorder="1" applyAlignment="1" applyProtection="1">
      <alignment vertical="center" wrapText="1"/>
    </xf>
    <xf numFmtId="3" fontId="8" fillId="0" borderId="4" xfId="10" applyNumberFormat="1" applyFont="1" applyFill="1" applyBorder="1" applyAlignment="1" applyProtection="1">
      <alignment vertical="center" wrapText="1"/>
      <protection locked="0"/>
    </xf>
    <xf numFmtId="164" fontId="4" fillId="0" borderId="1" xfId="10" applyNumberFormat="1" applyFont="1" applyFill="1" applyBorder="1" applyAlignment="1" applyProtection="1">
      <alignment vertical="center" wrapText="1"/>
      <protection locked="0"/>
    </xf>
    <xf numFmtId="164" fontId="4" fillId="0" borderId="2" xfId="1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49" fontId="38" fillId="0" borderId="15" xfId="10" applyNumberFormat="1" applyFont="1" applyFill="1" applyBorder="1" applyAlignment="1" applyProtection="1">
      <alignment horizontal="center" vertical="center" wrapText="1"/>
    </xf>
    <xf numFmtId="49" fontId="40" fillId="0" borderId="24" xfId="10" applyNumberFormat="1" applyFont="1" applyFill="1" applyBorder="1" applyAlignment="1" applyProtection="1">
      <alignment horizontal="left" vertical="center" wrapText="1" indent="2"/>
    </xf>
    <xf numFmtId="3" fontId="40" fillId="0" borderId="15" xfId="10" applyNumberFormat="1" applyFont="1" applyFill="1" applyBorder="1" applyAlignment="1" applyProtection="1">
      <alignment vertical="center" wrapText="1"/>
      <protection locked="0"/>
    </xf>
    <xf numFmtId="3" fontId="40" fillId="0" borderId="4" xfId="10" applyNumberFormat="1" applyFont="1" applyFill="1" applyBorder="1" applyAlignment="1" applyProtection="1">
      <alignment vertical="center" wrapText="1"/>
      <protection locked="0"/>
    </xf>
    <xf numFmtId="49" fontId="30" fillId="0" borderId="16" xfId="10" applyNumberFormat="1" applyFont="1" applyFill="1" applyBorder="1" applyAlignment="1" applyProtection="1">
      <alignment horizontal="center" vertical="center" wrapText="1"/>
    </xf>
    <xf numFmtId="49" fontId="8" fillId="0" borderId="26" xfId="10" applyNumberFormat="1" applyFont="1" applyFill="1" applyBorder="1" applyAlignment="1" applyProtection="1">
      <alignment horizontal="left" vertical="center" wrapText="1" indent="3"/>
    </xf>
    <xf numFmtId="3" fontId="4" fillId="0" borderId="15" xfId="10" applyNumberFormat="1" applyFont="1" applyFill="1" applyBorder="1" applyAlignment="1" applyProtection="1">
      <alignment vertical="center" wrapText="1"/>
    </xf>
    <xf numFmtId="3" fontId="4" fillId="0" borderId="4" xfId="10" applyNumberFormat="1" applyFont="1" applyFill="1" applyBorder="1" applyAlignment="1" applyProtection="1">
      <alignment vertical="center" wrapText="1"/>
    </xf>
    <xf numFmtId="0" fontId="31" fillId="0" borderId="9" xfId="0" applyFont="1" applyFill="1" applyBorder="1" applyAlignment="1">
      <alignment vertical="center" wrapText="1"/>
    </xf>
    <xf numFmtId="164" fontId="22" fillId="0" borderId="1" xfId="0" applyNumberFormat="1" applyFont="1" applyBorder="1" applyAlignment="1" applyProtection="1">
      <alignment vertical="center" wrapText="1"/>
    </xf>
    <xf numFmtId="164" fontId="22" fillId="0" borderId="2" xfId="0" applyNumberFormat="1" applyFont="1" applyBorder="1" applyAlignment="1" applyProtection="1">
      <alignment vertical="center" wrapText="1"/>
    </xf>
    <xf numFmtId="164" fontId="22" fillId="0" borderId="1" xfId="0" quotePrefix="1" applyNumberFormat="1" applyFont="1" applyBorder="1" applyAlignment="1" applyProtection="1">
      <alignment vertical="center" wrapText="1"/>
    </xf>
    <xf numFmtId="164" fontId="22" fillId="0" borderId="2" xfId="0" quotePrefix="1" applyNumberFormat="1" applyFont="1" applyBorder="1" applyAlignment="1" applyProtection="1">
      <alignment vertical="center" wrapText="1"/>
    </xf>
    <xf numFmtId="49" fontId="27" fillId="2" borderId="68" xfId="12" applyNumberFormat="1" applyFont="1" applyFill="1" applyBorder="1" applyAlignment="1">
      <alignment horizontal="center" vertical="center" wrapText="1"/>
    </xf>
    <xf numFmtId="3" fontId="23" fillId="0" borderId="24" xfId="12" applyNumberFormat="1" applyFont="1" applyFill="1" applyBorder="1" applyAlignment="1">
      <alignment horizontal="right" shrinkToFit="1"/>
    </xf>
    <xf numFmtId="3" fontId="31" fillId="0" borderId="26" xfId="0" applyNumberFormat="1" applyFont="1" applyFill="1" applyBorder="1" applyAlignment="1">
      <alignment horizontal="right" wrapText="1"/>
    </xf>
    <xf numFmtId="0" fontId="22" fillId="0" borderId="23" xfId="12" applyFont="1" applyBorder="1" applyAlignment="1">
      <alignment horizontal="center" vertical="center"/>
    </xf>
    <xf numFmtId="3" fontId="41" fillId="0" borderId="47" xfId="12" applyNumberFormat="1" applyFont="1" applyBorder="1" applyAlignment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3" fontId="1" fillId="0" borderId="10" xfId="0" applyNumberFormat="1" applyFont="1" applyFill="1" applyBorder="1" applyAlignment="1">
      <alignment horizontal="right" wrapText="1"/>
    </xf>
    <xf numFmtId="3" fontId="28" fillId="0" borderId="28" xfId="10" applyNumberFormat="1" applyFont="1" applyFill="1" applyBorder="1" applyAlignment="1" applyProtection="1">
      <alignment horizontal="right" wrapText="1"/>
    </xf>
    <xf numFmtId="3" fontId="28" fillId="0" borderId="66" xfId="10" applyNumberFormat="1" applyFont="1" applyFill="1" applyBorder="1" applyAlignment="1" applyProtection="1">
      <alignment horizontal="right" wrapText="1"/>
    </xf>
    <xf numFmtId="3" fontId="38" fillId="0" borderId="26" xfId="0" applyNumberFormat="1" applyFont="1" applyFill="1" applyBorder="1" applyAlignment="1">
      <alignment horizontal="right" wrapText="1"/>
    </xf>
    <xf numFmtId="3" fontId="31" fillId="0" borderId="28" xfId="10" applyNumberFormat="1" applyFont="1" applyFill="1" applyBorder="1" applyAlignment="1" applyProtection="1">
      <alignment horizontal="right" wrapText="1"/>
    </xf>
    <xf numFmtId="3" fontId="31" fillId="0" borderId="66" xfId="10" applyNumberFormat="1" applyFont="1" applyFill="1" applyBorder="1" applyAlignment="1" applyProtection="1">
      <alignment horizontal="right" wrapText="1"/>
    </xf>
    <xf numFmtId="3" fontId="31" fillId="0" borderId="0" xfId="10" applyNumberFormat="1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3" fontId="1" fillId="0" borderId="21" xfId="10" applyNumberFormat="1" applyFont="1" applyFill="1" applyBorder="1" applyAlignment="1" applyProtection="1">
      <alignment wrapText="1"/>
      <protection locked="0"/>
    </xf>
    <xf numFmtId="3" fontId="1" fillId="0" borderId="4" xfId="10" applyNumberFormat="1" applyFont="1" applyFill="1" applyBorder="1" applyAlignment="1" applyProtection="1">
      <alignment wrapText="1"/>
      <protection locked="0"/>
    </xf>
    <xf numFmtId="3" fontId="30" fillId="0" borderId="4" xfId="0" applyNumberFormat="1" applyFont="1" applyFill="1" applyBorder="1" applyAlignment="1">
      <alignment wrapText="1"/>
    </xf>
    <xf numFmtId="3" fontId="38" fillId="0" borderId="42" xfId="10" applyNumberFormat="1" applyFont="1" applyFill="1" applyBorder="1" applyAlignment="1" applyProtection="1">
      <alignment wrapText="1"/>
      <protection locked="0"/>
    </xf>
    <xf numFmtId="3" fontId="38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30" fillId="0" borderId="21" xfId="10" applyNumberFormat="1" applyFont="1" applyFill="1" applyBorder="1" applyAlignment="1" applyProtection="1">
      <alignment wrapText="1"/>
      <protection locked="0"/>
    </xf>
    <xf numFmtId="3" fontId="30" fillId="0" borderId="48" xfId="10" applyNumberFormat="1" applyFont="1" applyFill="1" applyBorder="1" applyAlignment="1" applyProtection="1">
      <alignment wrapText="1"/>
      <protection locked="0"/>
    </xf>
    <xf numFmtId="3" fontId="31" fillId="0" borderId="2" xfId="10" applyNumberFormat="1" applyFont="1" applyFill="1" applyBorder="1" applyAlignment="1" applyProtection="1">
      <alignment wrapText="1"/>
    </xf>
    <xf numFmtId="3" fontId="7" fillId="0" borderId="5" xfId="0" applyNumberFormat="1" applyFont="1" applyFill="1" applyBorder="1" applyAlignment="1">
      <alignment wrapText="1"/>
    </xf>
    <xf numFmtId="3" fontId="23" fillId="0" borderId="2" xfId="0" applyNumberFormat="1" applyFont="1" applyBorder="1" applyAlignment="1" applyProtection="1">
      <alignment wrapText="1"/>
    </xf>
    <xf numFmtId="3" fontId="23" fillId="0" borderId="69" xfId="0" quotePrefix="1" applyNumberFormat="1" applyFont="1" applyBorder="1" applyAlignment="1" applyProtection="1">
      <alignment wrapText="1"/>
    </xf>
    <xf numFmtId="3" fontId="23" fillId="0" borderId="27" xfId="0" quotePrefix="1" applyNumberFormat="1" applyFont="1" applyBorder="1" applyAlignment="1" applyProtection="1">
      <alignment wrapText="1"/>
    </xf>
    <xf numFmtId="3" fontId="23" fillId="0" borderId="9" xfId="0" quotePrefix="1" applyNumberFormat="1" applyFont="1" applyBorder="1" applyAlignment="1" applyProtection="1">
      <alignment wrapText="1"/>
    </xf>
    <xf numFmtId="3" fontId="23" fillId="0" borderId="2" xfId="0" quotePrefix="1" applyNumberFormat="1" applyFont="1" applyBorder="1" applyAlignment="1" applyProtection="1">
      <alignment wrapText="1"/>
    </xf>
    <xf numFmtId="3" fontId="28" fillId="0" borderId="24" xfId="10" applyNumberFormat="1" applyFont="1" applyFill="1" applyBorder="1" applyAlignment="1" applyProtection="1">
      <alignment horizontal="right" wrapText="1"/>
    </xf>
    <xf numFmtId="3" fontId="28" fillId="0" borderId="7" xfId="10" applyNumberFormat="1" applyFont="1" applyFill="1" applyBorder="1" applyAlignment="1" applyProtection="1">
      <alignment vertical="center" wrapText="1"/>
    </xf>
    <xf numFmtId="3" fontId="28" fillId="0" borderId="66" xfId="10" applyNumberFormat="1" applyFont="1" applyFill="1" applyBorder="1" applyAlignment="1" applyProtection="1">
      <alignment vertical="center" wrapText="1"/>
    </xf>
    <xf numFmtId="3" fontId="28" fillId="0" borderId="39" xfId="10" applyNumberFormat="1" applyFont="1" applyFill="1" applyBorder="1" applyAlignment="1" applyProtection="1">
      <alignment horizontal="right" wrapText="1"/>
    </xf>
    <xf numFmtId="3" fontId="1" fillId="0" borderId="24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right" wrapText="1"/>
    </xf>
    <xf numFmtId="0" fontId="1" fillId="0" borderId="45" xfId="0" applyFont="1" applyFill="1" applyBorder="1" applyAlignment="1">
      <alignment vertical="center" wrapText="1"/>
    </xf>
    <xf numFmtId="3" fontId="38" fillId="0" borderId="10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 vertical="center" wrapText="1"/>
    </xf>
    <xf numFmtId="164" fontId="31" fillId="0" borderId="32" xfId="0" applyNumberFormat="1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wrapText="1"/>
      <protection locked="0"/>
    </xf>
    <xf numFmtId="164" fontId="8" fillId="0" borderId="29" xfId="0" applyNumberFormat="1" applyFont="1" applyFill="1" applyBorder="1" applyAlignment="1" applyProtection="1">
      <alignment vertical="center" wrapText="1"/>
      <protection locked="0"/>
    </xf>
    <xf numFmtId="164" fontId="8" fillId="0" borderId="70" xfId="0" applyNumberFormat="1" applyFont="1" applyFill="1" applyBorder="1" applyAlignment="1" applyProtection="1">
      <alignment vertical="center" wrapText="1"/>
      <protection locked="0"/>
    </xf>
    <xf numFmtId="49" fontId="2" fillId="0" borderId="14" xfId="10" applyNumberFormat="1" applyFont="1" applyFill="1" applyBorder="1" applyAlignment="1" applyProtection="1">
      <alignment horizontal="left" wrapText="1"/>
    </xf>
    <xf numFmtId="49" fontId="40" fillId="0" borderId="14" xfId="10" applyNumberFormat="1" applyFont="1" applyFill="1" applyBorder="1" applyAlignment="1" applyProtection="1">
      <alignment horizontal="left" wrapText="1"/>
    </xf>
    <xf numFmtId="164" fontId="31" fillId="0" borderId="11" xfId="0" applyNumberFormat="1" applyFont="1" applyFill="1" applyBorder="1" applyAlignment="1" applyProtection="1">
      <alignment horizontal="center" vertical="center" wrapText="1"/>
    </xf>
    <xf numFmtId="164" fontId="31" fillId="0" borderId="2" xfId="0" applyNumberFormat="1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</xf>
    <xf numFmtId="164" fontId="53" fillId="0" borderId="63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6" xfId="0" applyNumberFormat="1" applyFont="1" applyFill="1" applyBorder="1" applyAlignment="1" applyProtection="1">
      <alignment vertical="center" wrapText="1"/>
      <protection locked="0"/>
    </xf>
    <xf numFmtId="164" fontId="30" fillId="0" borderId="5" xfId="0" applyNumberFormat="1" applyFont="1" applyFill="1" applyBorder="1" applyAlignment="1" applyProtection="1">
      <alignment vertical="center" wrapText="1"/>
    </xf>
    <xf numFmtId="164" fontId="30" fillId="0" borderId="40" xfId="0" applyNumberFormat="1" applyFont="1" applyFill="1" applyBorder="1" applyAlignment="1" applyProtection="1">
      <alignment vertical="center" wrapText="1"/>
    </xf>
    <xf numFmtId="164" fontId="53" fillId="0" borderId="11" xfId="0" applyNumberFormat="1" applyFont="1" applyFill="1" applyBorder="1" applyAlignment="1" applyProtection="1">
      <alignment horizontal="center" vertical="center" wrapText="1"/>
    </xf>
    <xf numFmtId="164" fontId="30" fillId="0" borderId="21" xfId="0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31" fillId="0" borderId="14" xfId="0" applyNumberFormat="1" applyFont="1" applyFill="1" applyBorder="1" applyAlignment="1" applyProtection="1">
      <alignment horizontal="left" vertical="center" wrapText="1" indent="1"/>
    </xf>
    <xf numFmtId="164" fontId="28" fillId="0" borderId="49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64" fontId="30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left" vertical="center" wrapText="1" indent="1"/>
    </xf>
    <xf numFmtId="164" fontId="30" fillId="0" borderId="5" xfId="0" applyNumberFormat="1" applyFont="1" applyFill="1" applyBorder="1" applyAlignment="1" applyProtection="1">
      <alignment horizontal="right" wrapText="1"/>
    </xf>
    <xf numFmtId="164" fontId="30" fillId="0" borderId="69" xfId="0" applyNumberFormat="1" applyFont="1" applyFill="1" applyBorder="1" applyAlignment="1" applyProtection="1">
      <alignment horizontal="left" vertical="center" wrapText="1" indent="1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164" fontId="31" fillId="0" borderId="20" xfId="0" applyNumberFormat="1" applyFont="1" applyFill="1" applyBorder="1" applyAlignment="1" applyProtection="1">
      <alignment horizontal="left" vertical="center" wrapText="1" indent="1"/>
    </xf>
    <xf numFmtId="164" fontId="31" fillId="0" borderId="9" xfId="0" applyNumberFormat="1" applyFont="1" applyFill="1" applyBorder="1" applyAlignment="1" applyProtection="1">
      <alignment horizontal="right" wrapText="1"/>
    </xf>
    <xf numFmtId="164" fontId="30" fillId="0" borderId="15" xfId="0" applyNumberFormat="1" applyFont="1" applyFill="1" applyBorder="1" applyAlignment="1" applyProtection="1">
      <alignment horizontal="left" vertical="center" wrapText="1" indent="1"/>
    </xf>
    <xf numFmtId="164" fontId="31" fillId="0" borderId="1" xfId="0" applyNumberFormat="1" applyFont="1" applyFill="1" applyBorder="1" applyAlignment="1" applyProtection="1">
      <alignment wrapText="1"/>
    </xf>
    <xf numFmtId="164" fontId="30" fillId="0" borderId="11" xfId="0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3" xfId="10" applyFont="1" applyFill="1" applyBorder="1" applyAlignment="1" applyProtection="1">
      <alignment horizontal="left" vertical="center" wrapText="1" indent="1"/>
    </xf>
    <xf numFmtId="0" fontId="26" fillId="0" borderId="14" xfId="0" quotePrefix="1" applyFont="1" applyBorder="1" applyAlignment="1" applyProtection="1">
      <alignment horizontal="left" vertical="center" wrapText="1" indent="2"/>
    </xf>
    <xf numFmtId="49" fontId="40" fillId="0" borderId="14" xfId="10" applyNumberFormat="1" applyFont="1" applyFill="1" applyBorder="1" applyAlignment="1" applyProtection="1">
      <alignment horizontal="left" vertical="center" wrapText="1" indent="3"/>
    </xf>
    <xf numFmtId="0" fontId="32" fillId="0" borderId="36" xfId="12" applyFont="1" applyBorder="1" applyAlignment="1">
      <alignment horizontal="center" vertical="center" wrapText="1"/>
    </xf>
    <xf numFmtId="0" fontId="32" fillId="2" borderId="43" xfId="12" applyFont="1" applyFill="1" applyBorder="1" applyAlignment="1">
      <alignment horizontal="center" wrapText="1"/>
    </xf>
    <xf numFmtId="3" fontId="32" fillId="3" borderId="20" xfId="12" applyNumberFormat="1" applyFont="1" applyFill="1" applyBorder="1" applyAlignment="1">
      <alignment shrinkToFit="1"/>
    </xf>
    <xf numFmtId="3" fontId="32" fillId="3" borderId="9" xfId="12" applyNumberFormat="1" applyFont="1" applyFill="1" applyBorder="1" applyAlignment="1">
      <alignment shrinkToFit="1"/>
    </xf>
    <xf numFmtId="3" fontId="7" fillId="0" borderId="39" xfId="0" applyNumberFormat="1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>
      <alignment horizontal="center" vertical="center" wrapText="1"/>
    </xf>
    <xf numFmtId="3" fontId="0" fillId="0" borderId="19" xfId="0" applyNumberFormat="1" applyFill="1" applyBorder="1" applyAlignment="1" applyProtection="1">
      <alignment vertical="center" wrapText="1"/>
    </xf>
    <xf numFmtId="3" fontId="23" fillId="0" borderId="54" xfId="12" applyNumberFormat="1" applyFont="1" applyFill="1" applyBorder="1" applyAlignment="1">
      <alignment horizontal="right" shrinkToFit="1"/>
    </xf>
    <xf numFmtId="0" fontId="27" fillId="0" borderId="3" xfId="12" applyFont="1" applyFill="1" applyBorder="1" applyAlignment="1">
      <alignment horizontal="left" wrapText="1"/>
    </xf>
    <xf numFmtId="0" fontId="28" fillId="0" borderId="27" xfId="10" applyFont="1" applyFill="1" applyBorder="1" applyAlignment="1" applyProtection="1">
      <alignment horizontal="left" vertical="center" wrapText="1" indent="1"/>
    </xf>
    <xf numFmtId="164" fontId="28" fillId="0" borderId="47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vertical="center" wrapText="1"/>
    </xf>
    <xf numFmtId="164" fontId="4" fillId="0" borderId="10" xfId="10" applyNumberFormat="1" applyFont="1" applyFill="1" applyBorder="1" applyAlignment="1" applyProtection="1">
      <alignment vertical="center" wrapText="1"/>
    </xf>
    <xf numFmtId="3" fontId="4" fillId="0" borderId="10" xfId="10" applyNumberFormat="1" applyFont="1" applyFill="1" applyBorder="1" applyAlignment="1" applyProtection="1">
      <alignment vertical="center" wrapText="1"/>
    </xf>
    <xf numFmtId="0" fontId="1" fillId="0" borderId="25" xfId="0" applyFont="1" applyFill="1" applyBorder="1" applyAlignment="1">
      <alignment vertical="center" wrapText="1"/>
    </xf>
    <xf numFmtId="164" fontId="4" fillId="0" borderId="23" xfId="10" applyNumberFormat="1" applyFont="1" applyFill="1" applyBorder="1" applyAlignment="1" applyProtection="1">
      <alignment vertical="center" wrapText="1"/>
    </xf>
    <xf numFmtId="164" fontId="4" fillId="0" borderId="19" xfId="10" applyNumberFormat="1" applyFont="1" applyFill="1" applyBorder="1" applyAlignment="1" applyProtection="1">
      <alignment vertical="center" wrapText="1"/>
    </xf>
    <xf numFmtId="3" fontId="30" fillId="0" borderId="39" xfId="0" applyNumberFormat="1" applyFont="1" applyFill="1" applyBorder="1" applyAlignment="1">
      <alignment vertical="center" wrapText="1"/>
    </xf>
    <xf numFmtId="164" fontId="28" fillId="0" borderId="22" xfId="0" applyNumberFormat="1" applyFont="1" applyFill="1" applyBorder="1" applyAlignment="1">
      <alignment horizontal="center" vertical="center" wrapText="1"/>
    </xf>
    <xf numFmtId="164" fontId="40" fillId="0" borderId="22" xfId="10" applyNumberFormat="1" applyFont="1" applyFill="1" applyBorder="1" applyAlignment="1" applyProtection="1">
      <alignment vertical="center" wrapText="1"/>
      <protection locked="0"/>
    </xf>
    <xf numFmtId="3" fontId="30" fillId="0" borderId="22" xfId="0" applyNumberFormat="1" applyFont="1" applyFill="1" applyBorder="1" applyAlignment="1">
      <alignment vertical="center" wrapText="1"/>
    </xf>
    <xf numFmtId="3" fontId="1" fillId="0" borderId="39" xfId="0" applyNumberFormat="1" applyFont="1" applyFill="1" applyBorder="1" applyAlignment="1">
      <alignment vertical="center" wrapText="1"/>
    </xf>
    <xf numFmtId="3" fontId="40" fillId="0" borderId="22" xfId="10" applyNumberFormat="1" applyFont="1" applyFill="1" applyBorder="1" applyAlignment="1" applyProtection="1">
      <alignment vertical="center" wrapText="1"/>
      <protection locked="0"/>
    </xf>
    <xf numFmtId="3" fontId="2" fillId="0" borderId="39" xfId="10" applyNumberFormat="1" applyFont="1" applyFill="1" applyBorder="1" applyAlignment="1" applyProtection="1">
      <alignment vertical="center" wrapText="1"/>
    </xf>
    <xf numFmtId="3" fontId="2" fillId="0" borderId="45" xfId="10" applyNumberFormat="1" applyFont="1" applyFill="1" applyBorder="1" applyAlignment="1" applyProtection="1">
      <alignment vertical="center" wrapText="1"/>
    </xf>
    <xf numFmtId="164" fontId="28" fillId="0" borderId="39" xfId="0" applyNumberFormat="1" applyFont="1" applyFill="1" applyBorder="1" applyAlignment="1">
      <alignment horizontal="center" vertical="center" wrapText="1"/>
    </xf>
    <xf numFmtId="164" fontId="40" fillId="0" borderId="39" xfId="10" applyNumberFormat="1" applyFont="1" applyFill="1" applyBorder="1" applyAlignment="1" applyProtection="1">
      <alignment vertical="center" wrapText="1"/>
      <protection locked="0"/>
    </xf>
    <xf numFmtId="3" fontId="8" fillId="0" borderId="22" xfId="0" applyNumberFormat="1" applyFont="1" applyFill="1" applyBorder="1" applyAlignment="1">
      <alignment vertical="center" wrapText="1"/>
    </xf>
    <xf numFmtId="164" fontId="4" fillId="0" borderId="62" xfId="10" applyNumberFormat="1" applyFont="1" applyFill="1" applyBorder="1" applyAlignment="1" applyProtection="1">
      <alignment vertical="center" wrapText="1"/>
    </xf>
    <xf numFmtId="164" fontId="8" fillId="0" borderId="22" xfId="10" applyNumberFormat="1" applyFont="1" applyFill="1" applyBorder="1" applyAlignment="1" applyProtection="1">
      <alignment vertical="center" wrapText="1"/>
      <protection locked="0"/>
    </xf>
    <xf numFmtId="3" fontId="1" fillId="0" borderId="40" xfId="0" applyNumberFormat="1" applyFont="1" applyFill="1" applyBorder="1" applyAlignment="1">
      <alignment vertical="center" wrapText="1"/>
    </xf>
    <xf numFmtId="3" fontId="8" fillId="0" borderId="39" xfId="10" applyNumberFormat="1" applyFont="1" applyFill="1" applyBorder="1" applyAlignment="1" applyProtection="1">
      <alignment vertical="center" wrapText="1"/>
      <protection locked="0"/>
    </xf>
    <xf numFmtId="164" fontId="28" fillId="0" borderId="40" xfId="0" applyNumberFormat="1" applyFont="1" applyFill="1" applyBorder="1" applyAlignment="1">
      <alignment horizontal="center" vertical="center" wrapText="1"/>
    </xf>
    <xf numFmtId="164" fontId="28" fillId="0" borderId="62" xfId="0" applyNumberFormat="1" applyFont="1" applyFill="1" applyBorder="1" applyAlignment="1">
      <alignment horizontal="center" vertical="center" wrapText="1"/>
    </xf>
    <xf numFmtId="164" fontId="2" fillId="0" borderId="13" xfId="10" applyNumberFormat="1" applyFont="1" applyFill="1" applyBorder="1" applyAlignment="1" applyProtection="1">
      <alignment vertical="center" wrapText="1"/>
      <protection locked="0"/>
    </xf>
    <xf numFmtId="164" fontId="2" fillId="0" borderId="34" xfId="10" applyNumberFormat="1" applyFont="1" applyFill="1" applyBorder="1" applyAlignment="1" applyProtection="1">
      <alignment vertical="center" wrapText="1"/>
      <protection locked="0"/>
    </xf>
    <xf numFmtId="3" fontId="55" fillId="0" borderId="22" xfId="10" applyNumberFormat="1" applyFont="1" applyFill="1" applyBorder="1" applyAlignment="1" applyProtection="1">
      <alignment vertical="center" wrapText="1"/>
      <protection locked="0"/>
    </xf>
    <xf numFmtId="3" fontId="40" fillId="0" borderId="39" xfId="10" applyNumberFormat="1" applyFont="1" applyFill="1" applyBorder="1" applyAlignment="1" applyProtection="1">
      <alignment vertical="center" wrapText="1"/>
      <protection locked="0"/>
    </xf>
    <xf numFmtId="164" fontId="28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22" fillId="0" borderId="2" xfId="12" applyFont="1" applyBorder="1" applyAlignment="1">
      <alignment horizontal="center" vertical="center" wrapText="1"/>
    </xf>
    <xf numFmtId="164" fontId="15" fillId="0" borderId="47" xfId="0" applyNumberFormat="1" applyFont="1" applyFill="1" applyBorder="1" applyAlignment="1" applyProtection="1">
      <alignment horizontal="right" wrapText="1"/>
    </xf>
    <xf numFmtId="164" fontId="15" fillId="0" borderId="62" xfId="0" applyNumberFormat="1" applyFont="1" applyFill="1" applyBorder="1" applyAlignment="1" applyProtection="1">
      <alignment horizontal="right" wrapText="1"/>
    </xf>
    <xf numFmtId="0" fontId="15" fillId="0" borderId="12" xfId="0" applyFont="1" applyFill="1" applyBorder="1" applyAlignment="1" applyProtection="1">
      <alignment horizontal="left" vertical="center" wrapText="1" indent="1"/>
    </xf>
    <xf numFmtId="3" fontId="15" fillId="0" borderId="46" xfId="0" applyNumberFormat="1" applyFont="1" applyFill="1" applyBorder="1" applyAlignment="1" applyProtection="1">
      <alignment horizontal="right" wrapText="1"/>
    </xf>
    <xf numFmtId="164" fontId="15" fillId="0" borderId="12" xfId="0" applyNumberFormat="1" applyFont="1" applyFill="1" applyBorder="1" applyAlignment="1" applyProtection="1">
      <alignment horizontal="right" wrapText="1"/>
    </xf>
    <xf numFmtId="3" fontId="7" fillId="0" borderId="7" xfId="0" applyNumberFormat="1" applyFont="1" applyFill="1" applyBorder="1" applyAlignment="1" applyProtection="1">
      <alignment horizontal="right" wrapText="1"/>
    </xf>
    <xf numFmtId="0" fontId="55" fillId="0" borderId="7" xfId="0" applyFont="1" applyFill="1" applyBorder="1" applyAlignment="1" applyProtection="1">
      <alignment horizontal="right" wrapText="1"/>
    </xf>
    <xf numFmtId="164" fontId="15" fillId="0" borderId="66" xfId="0" applyNumberFormat="1" applyFont="1" applyFill="1" applyBorder="1" applyAlignment="1" applyProtection="1">
      <alignment horizontal="right" wrapText="1"/>
    </xf>
    <xf numFmtId="164" fontId="15" fillId="0" borderId="22" xfId="0" applyNumberFormat="1" applyFont="1" applyFill="1" applyBorder="1" applyAlignment="1" applyProtection="1">
      <alignment horizontal="right" wrapText="1"/>
    </xf>
    <xf numFmtId="0" fontId="2" fillId="0" borderId="9" xfId="10" applyFont="1" applyFill="1" applyBorder="1" applyAlignment="1" applyProtection="1">
      <alignment horizontal="left" vertical="center" wrapText="1" indent="1"/>
    </xf>
    <xf numFmtId="3" fontId="30" fillId="0" borderId="35" xfId="0" applyNumberFormat="1" applyFont="1" applyFill="1" applyBorder="1" applyAlignment="1" applyProtection="1">
      <alignment horizontal="right" wrapText="1"/>
    </xf>
    <xf numFmtId="0" fontId="2" fillId="0" borderId="35" xfId="0" applyFont="1" applyFill="1" applyBorder="1" applyAlignment="1" applyProtection="1">
      <alignment horizontal="right" wrapText="1"/>
    </xf>
    <xf numFmtId="3" fontId="15" fillId="0" borderId="27" xfId="0" applyNumberFormat="1" applyFont="1" applyFill="1" applyBorder="1" applyAlignment="1" applyProtection="1">
      <alignment vertical="center" wrapText="1"/>
      <protection locked="0"/>
    </xf>
    <xf numFmtId="164" fontId="15" fillId="0" borderId="67" xfId="0" applyNumberFormat="1" applyFont="1" applyFill="1" applyBorder="1" applyAlignment="1" applyProtection="1">
      <alignment horizontal="right" wrapText="1"/>
    </xf>
    <xf numFmtId="0" fontId="15" fillId="0" borderId="49" xfId="0" applyFont="1" applyFill="1" applyBorder="1" applyAlignment="1" applyProtection="1">
      <alignment horizontal="center" vertical="center" wrapText="1"/>
    </xf>
    <xf numFmtId="0" fontId="15" fillId="0" borderId="12" xfId="10" applyFont="1" applyFill="1" applyBorder="1" applyAlignment="1" applyProtection="1">
      <alignment horizontal="left" vertical="center" wrapText="1" indent="1"/>
    </xf>
    <xf numFmtId="3" fontId="15" fillId="0" borderId="46" xfId="0" applyNumberFormat="1" applyFont="1" applyFill="1" applyBorder="1" applyAlignment="1" applyProtection="1">
      <alignment vertical="center" wrapText="1"/>
    </xf>
    <xf numFmtId="164" fontId="15" fillId="0" borderId="45" xfId="0" applyNumberFormat="1" applyFont="1" applyFill="1" applyBorder="1" applyAlignment="1" applyProtection="1">
      <alignment horizontal="right" wrapText="1"/>
    </xf>
    <xf numFmtId="3" fontId="15" fillId="0" borderId="30" xfId="0" applyNumberFormat="1" applyFont="1" applyFill="1" applyBorder="1" applyAlignment="1" applyProtection="1">
      <alignment vertical="center" wrapText="1"/>
    </xf>
    <xf numFmtId="164" fontId="15" fillId="0" borderId="8" xfId="0" applyNumberFormat="1" applyFont="1" applyFill="1" applyBorder="1" applyAlignment="1" applyProtection="1">
      <alignment horizontal="right" wrapText="1"/>
    </xf>
    <xf numFmtId="3" fontId="7" fillId="0" borderId="9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right" wrapText="1"/>
    </xf>
    <xf numFmtId="0" fontId="22" fillId="0" borderId="49" xfId="0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vertical="center" wrapText="1"/>
    </xf>
    <xf numFmtId="3" fontId="38" fillId="0" borderId="38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vertical="center" wrapText="1"/>
    </xf>
    <xf numFmtId="3" fontId="55" fillId="0" borderId="3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3" fontId="8" fillId="0" borderId="39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164" fontId="15" fillId="0" borderId="19" xfId="10" applyNumberFormat="1" applyFont="1" applyFill="1" applyBorder="1" applyAlignment="1" applyProtection="1">
      <alignment vertical="center" wrapText="1"/>
    </xf>
    <xf numFmtId="0" fontId="40" fillId="0" borderId="4" xfId="0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 wrapText="1"/>
    </xf>
    <xf numFmtId="3" fontId="40" fillId="0" borderId="2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4" fillId="0" borderId="66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4" fontId="4" fillId="0" borderId="6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vertical="center" wrapText="1"/>
    </xf>
    <xf numFmtId="3" fontId="27" fillId="0" borderId="25" xfId="12" applyNumberFormat="1" applyFont="1" applyFill="1" applyBorder="1" applyAlignment="1">
      <alignment horizontal="right" wrapText="1"/>
    </xf>
    <xf numFmtId="3" fontId="27" fillId="0" borderId="30" xfId="12" applyNumberFormat="1" applyFont="1" applyFill="1" applyBorder="1" applyAlignment="1">
      <alignment horizontal="right" wrapText="1"/>
    </xf>
    <xf numFmtId="3" fontId="27" fillId="0" borderId="15" xfId="12" applyNumberFormat="1" applyFont="1" applyFill="1" applyBorder="1" applyAlignment="1">
      <alignment wrapText="1"/>
    </xf>
    <xf numFmtId="3" fontId="27" fillId="0" borderId="4" xfId="12" applyNumberFormat="1" applyFont="1" applyFill="1" applyBorder="1" applyAlignment="1">
      <alignment wrapText="1"/>
    </xf>
    <xf numFmtId="3" fontId="27" fillId="2" borderId="39" xfId="12" applyNumberFormat="1" applyFont="1" applyFill="1" applyBorder="1" applyAlignment="1">
      <alignment horizontal="right" wrapText="1"/>
    </xf>
    <xf numFmtId="49" fontId="27" fillId="2" borderId="14" xfId="12" applyNumberFormat="1" applyFont="1" applyFill="1" applyBorder="1" applyAlignment="1">
      <alignment horizontal="center" vertical="center" wrapText="1"/>
    </xf>
    <xf numFmtId="3" fontId="32" fillId="3" borderId="67" xfId="12" applyNumberFormat="1" applyFont="1" applyFill="1" applyBorder="1" applyAlignment="1">
      <alignment shrinkToFit="1"/>
    </xf>
    <xf numFmtId="0" fontId="2" fillId="0" borderId="24" xfId="10" applyFont="1" applyFill="1" applyBorder="1" applyAlignment="1" applyProtection="1">
      <alignment horizontal="left" vertical="center" wrapText="1" indent="1"/>
    </xf>
    <xf numFmtId="0" fontId="4" fillId="0" borderId="10" xfId="10" applyFont="1" applyFill="1" applyBorder="1" applyAlignment="1" applyProtection="1">
      <alignment horizontal="left" vertical="center" wrapText="1" indent="1"/>
    </xf>
    <xf numFmtId="0" fontId="2" fillId="0" borderId="26" xfId="10" applyFont="1" applyFill="1" applyBorder="1" applyAlignment="1" applyProtection="1">
      <alignment horizontal="left" vertical="center" wrapText="1" indent="1"/>
    </xf>
    <xf numFmtId="3" fontId="8" fillId="0" borderId="62" xfId="0" applyNumberFormat="1" applyFont="1" applyFill="1" applyBorder="1" applyAlignment="1" applyProtection="1">
      <alignment vertical="center" wrapText="1"/>
    </xf>
    <xf numFmtId="3" fontId="8" fillId="0" borderId="19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wrapText="1"/>
    </xf>
    <xf numFmtId="3" fontId="8" fillId="0" borderId="22" xfId="0" applyNumberFormat="1" applyFont="1" applyFill="1" applyBorder="1" applyAlignment="1" applyProtection="1">
      <alignment vertical="center" wrapText="1"/>
    </xf>
    <xf numFmtId="3" fontId="8" fillId="0" borderId="39" xfId="0" applyNumberFormat="1" applyFont="1" applyFill="1" applyBorder="1" applyAlignment="1" applyProtection="1">
      <alignment vertical="center" wrapText="1"/>
    </xf>
    <xf numFmtId="3" fontId="8" fillId="0" borderId="40" xfId="0" applyNumberFormat="1" applyFont="1" applyFill="1" applyBorder="1" applyAlignment="1" applyProtection="1">
      <alignment vertical="center" wrapText="1"/>
    </xf>
    <xf numFmtId="164" fontId="8" fillId="0" borderId="22" xfId="0" applyNumberFormat="1" applyFont="1" applyFill="1" applyBorder="1" applyAlignment="1" applyProtection="1">
      <alignment horizontal="right" wrapText="1"/>
    </xf>
    <xf numFmtId="164" fontId="8" fillId="0" borderId="66" xfId="0" applyNumberFormat="1" applyFont="1" applyFill="1" applyBorder="1" applyAlignment="1" applyProtection="1">
      <alignment horizontal="right" wrapText="1"/>
    </xf>
    <xf numFmtId="3" fontId="8" fillId="0" borderId="22" xfId="0" applyNumberFormat="1" applyFont="1" applyFill="1" applyBorder="1" applyAlignment="1" applyProtection="1">
      <alignment wrapText="1"/>
    </xf>
    <xf numFmtId="164" fontId="4" fillId="0" borderId="10" xfId="0" applyNumberFormat="1" applyFont="1" applyFill="1" applyBorder="1" applyAlignment="1" applyProtection="1">
      <alignment horizontal="right" wrapText="1"/>
    </xf>
    <xf numFmtId="0" fontId="0" fillId="0" borderId="25" xfId="0" applyFill="1" applyBorder="1" applyAlignment="1" applyProtection="1">
      <alignment wrapText="1"/>
    </xf>
    <xf numFmtId="164" fontId="4" fillId="0" borderId="52" xfId="0" applyNumberFormat="1" applyFont="1" applyFill="1" applyBorder="1" applyAlignment="1" applyProtection="1">
      <alignment horizontal="right" wrapText="1"/>
    </xf>
    <xf numFmtId="164" fontId="2" fillId="0" borderId="56" xfId="0" applyNumberFormat="1" applyFont="1" applyFill="1" applyBorder="1" applyAlignment="1" applyProtection="1">
      <alignment horizontal="right" wrapText="1"/>
      <protection locked="0"/>
    </xf>
    <xf numFmtId="3" fontId="8" fillId="0" borderId="24" xfId="0" applyNumberFormat="1" applyFont="1" applyFill="1" applyBorder="1" applyAlignment="1" applyProtection="1">
      <alignment horizontal="right" wrapText="1"/>
    </xf>
    <xf numFmtId="3" fontId="8" fillId="0" borderId="66" xfId="0" applyNumberFormat="1" applyFont="1" applyFill="1" applyBorder="1" applyAlignment="1" applyProtection="1">
      <alignment horizontal="right" wrapText="1"/>
    </xf>
    <xf numFmtId="164" fontId="2" fillId="0" borderId="57" xfId="0" applyNumberFormat="1" applyFont="1" applyFill="1" applyBorder="1" applyAlignment="1" applyProtection="1">
      <alignment horizontal="right" wrapText="1"/>
      <protection locked="0"/>
    </xf>
    <xf numFmtId="164" fontId="2" fillId="0" borderId="61" xfId="0" applyNumberFormat="1" applyFont="1" applyFill="1" applyBorder="1" applyAlignment="1" applyProtection="1">
      <alignment horizontal="right" wrapText="1"/>
      <protection locked="0"/>
    </xf>
    <xf numFmtId="3" fontId="8" fillId="0" borderId="25" xfId="0" applyNumberFormat="1" applyFont="1" applyFill="1" applyBorder="1" applyAlignment="1" applyProtection="1">
      <alignment horizontal="right" wrapText="1"/>
    </xf>
    <xf numFmtId="3" fontId="8" fillId="0" borderId="22" xfId="0" applyNumberFormat="1" applyFont="1" applyFill="1" applyBorder="1" applyAlignment="1" applyProtection="1">
      <alignment horizontal="right" wrapText="1"/>
    </xf>
    <xf numFmtId="164" fontId="2" fillId="0" borderId="58" xfId="0" applyNumberFormat="1" applyFont="1" applyFill="1" applyBorder="1" applyAlignment="1" applyProtection="1">
      <alignment horizontal="right" wrapText="1"/>
      <protection locked="0"/>
    </xf>
    <xf numFmtId="164" fontId="2" fillId="0" borderId="36" xfId="0" applyNumberFormat="1" applyFont="1" applyFill="1" applyBorder="1" applyAlignment="1" applyProtection="1">
      <alignment horizontal="right" wrapText="1"/>
      <protection locked="0"/>
    </xf>
    <xf numFmtId="3" fontId="0" fillId="0" borderId="26" xfId="0" applyNumberFormat="1" applyFill="1" applyBorder="1" applyAlignment="1" applyProtection="1">
      <alignment horizontal="right" wrapText="1"/>
    </xf>
    <xf numFmtId="3" fontId="8" fillId="0" borderId="62" xfId="0" applyNumberFormat="1" applyFont="1" applyFill="1" applyBorder="1" applyAlignment="1" applyProtection="1">
      <alignment horizontal="right" wrapText="1"/>
    </xf>
    <xf numFmtId="164" fontId="4" fillId="0" borderId="23" xfId="0" applyNumberFormat="1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wrapText="1"/>
    </xf>
    <xf numFmtId="0" fontId="6" fillId="0" borderId="24" xfId="0" applyFont="1" applyFill="1" applyBorder="1" applyAlignment="1" applyProtection="1">
      <alignment horizontal="right" wrapText="1"/>
    </xf>
    <xf numFmtId="3" fontId="8" fillId="0" borderId="39" xfId="0" applyNumberFormat="1" applyFont="1" applyFill="1" applyBorder="1" applyAlignment="1" applyProtection="1">
      <alignment horizontal="right" wrapText="1"/>
    </xf>
    <xf numFmtId="0" fontId="0" fillId="0" borderId="57" xfId="0" applyFill="1" applyBorder="1" applyAlignment="1" applyProtection="1">
      <alignment horizontal="right" wrapText="1"/>
    </xf>
    <xf numFmtId="0" fontId="0" fillId="0" borderId="25" xfId="0" applyFill="1" applyBorder="1" applyAlignment="1" applyProtection="1">
      <alignment horizontal="right" wrapText="1"/>
    </xf>
    <xf numFmtId="164" fontId="2" fillId="0" borderId="71" xfId="0" applyNumberFormat="1" applyFont="1" applyFill="1" applyBorder="1" applyAlignment="1" applyProtection="1">
      <alignment horizontal="right" wrapText="1"/>
      <protection locked="0"/>
    </xf>
    <xf numFmtId="0" fontId="0" fillId="0" borderId="71" xfId="0" applyFill="1" applyBorder="1" applyAlignment="1" applyProtection="1">
      <alignment horizontal="right" wrapText="1"/>
    </xf>
    <xf numFmtId="0" fontId="0" fillId="0" borderId="26" xfId="0" applyFill="1" applyBorder="1" applyAlignment="1" applyProtection="1">
      <alignment horizontal="right" wrapText="1"/>
    </xf>
    <xf numFmtId="3" fontId="8" fillId="0" borderId="40" xfId="0" applyNumberFormat="1" applyFont="1" applyFill="1" applyBorder="1" applyAlignment="1" applyProtection="1">
      <alignment horizontal="right" wrapText="1"/>
    </xf>
    <xf numFmtId="164" fontId="15" fillId="0" borderId="5" xfId="0" applyNumberFormat="1" applyFont="1" applyFill="1" applyBorder="1" applyAlignment="1" applyProtection="1">
      <alignment horizontal="right" wrapText="1"/>
    </xf>
    <xf numFmtId="0" fontId="15" fillId="0" borderId="31" xfId="0" applyFont="1" applyFill="1" applyBorder="1" applyAlignment="1" applyProtection="1">
      <alignment horizontal="left" vertical="center" wrapText="1" indent="1"/>
    </xf>
    <xf numFmtId="164" fontId="15" fillId="0" borderId="49" xfId="0" applyNumberFormat="1" applyFont="1" applyFill="1" applyBorder="1" applyAlignment="1" applyProtection="1">
      <alignment vertical="center" wrapText="1"/>
    </xf>
    <xf numFmtId="164" fontId="15" fillId="0" borderId="12" xfId="0" applyNumberFormat="1" applyFont="1" applyFill="1" applyBorder="1" applyAlignment="1" applyProtection="1">
      <alignment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72" xfId="0" applyNumberFormat="1" applyFont="1" applyFill="1" applyBorder="1" applyAlignment="1" applyProtection="1">
      <alignment horizontal="center" vertical="center" wrapText="1"/>
    </xf>
    <xf numFmtId="0" fontId="2" fillId="0" borderId="72" xfId="10" applyFont="1" applyFill="1" applyBorder="1" applyAlignment="1" applyProtection="1">
      <alignment horizontal="left" vertical="center" wrapText="1" indent="8"/>
    </xf>
    <xf numFmtId="164" fontId="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5" xfId="0" applyFont="1" applyFill="1" applyBorder="1" applyAlignment="1" applyProtection="1">
      <alignment vertical="center" wrapText="1"/>
    </xf>
    <xf numFmtId="164" fontId="1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8" xfId="0" applyFont="1" applyFill="1" applyBorder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right" wrapText="1"/>
    </xf>
    <xf numFmtId="3" fontId="30" fillId="0" borderId="28" xfId="0" applyNumberFormat="1" applyFont="1" applyFill="1" applyBorder="1" applyAlignment="1" applyProtection="1">
      <alignment horizontal="right" wrapText="1"/>
    </xf>
    <xf numFmtId="3" fontId="30" fillId="0" borderId="24" xfId="0" applyNumberFormat="1" applyFont="1" applyFill="1" applyBorder="1" applyAlignment="1" applyProtection="1">
      <alignment horizontal="right" wrapText="1"/>
    </xf>
    <xf numFmtId="3" fontId="1" fillId="0" borderId="25" xfId="0" applyNumberFormat="1" applyFont="1" applyFill="1" applyBorder="1" applyAlignment="1" applyProtection="1">
      <alignment horizontal="right" wrapText="1"/>
    </xf>
    <xf numFmtId="0" fontId="8" fillId="0" borderId="64" xfId="10" applyFont="1" applyFill="1" applyBorder="1" applyAlignment="1" applyProtection="1">
      <alignment horizontal="left" vertical="center" wrapText="1" indent="1"/>
    </xf>
    <xf numFmtId="3" fontId="8" fillId="0" borderId="13" xfId="0" applyNumberFormat="1" applyFont="1" applyFill="1" applyBorder="1" applyAlignment="1" applyProtection="1">
      <alignment wrapText="1"/>
      <protection locked="0"/>
    </xf>
    <xf numFmtId="3" fontId="7" fillId="0" borderId="7" xfId="0" applyNumberFormat="1" applyFont="1" applyFill="1" applyBorder="1" applyAlignment="1" applyProtection="1">
      <alignment wrapText="1"/>
    </xf>
    <xf numFmtId="49" fontId="8" fillId="0" borderId="69" xfId="0" applyNumberFormat="1" applyFont="1" applyFill="1" applyBorder="1" applyAlignment="1" applyProtection="1">
      <alignment horizontal="center" vertical="center" wrapText="1"/>
    </xf>
    <xf numFmtId="0" fontId="8" fillId="0" borderId="69" xfId="10" applyFont="1" applyFill="1" applyBorder="1" applyAlignment="1" applyProtection="1">
      <alignment horizontal="left" vertical="center" wrapText="1" indent="2"/>
    </xf>
    <xf numFmtId="3" fontId="8" fillId="0" borderId="34" xfId="0" applyNumberFormat="1" applyFont="1" applyFill="1" applyBorder="1" applyAlignment="1" applyProtection="1">
      <alignment wrapText="1"/>
      <protection locked="0"/>
    </xf>
    <xf numFmtId="3" fontId="1" fillId="0" borderId="38" xfId="0" applyNumberFormat="1" applyFont="1" applyFill="1" applyBorder="1" applyAlignment="1" applyProtection="1">
      <alignment horizontal="right" wrapText="1"/>
    </xf>
    <xf numFmtId="164" fontId="8" fillId="0" borderId="67" xfId="0" applyNumberFormat="1" applyFont="1" applyFill="1" applyBorder="1" applyAlignment="1" applyProtection="1">
      <alignment horizontal="right" wrapText="1"/>
    </xf>
    <xf numFmtId="164" fontId="15" fillId="0" borderId="39" xfId="0" applyNumberFormat="1" applyFont="1" applyFill="1" applyBorder="1" applyAlignment="1" applyProtection="1">
      <alignment horizontal="right" wrapText="1"/>
    </xf>
    <xf numFmtId="164" fontId="15" fillId="0" borderId="40" xfId="0" applyNumberFormat="1" applyFont="1" applyFill="1" applyBorder="1" applyAlignment="1" applyProtection="1">
      <alignment horizontal="right" wrapText="1"/>
    </xf>
    <xf numFmtId="164" fontId="40" fillId="0" borderId="22" xfId="0" applyNumberFormat="1" applyFont="1" applyFill="1" applyBorder="1" applyAlignment="1" applyProtection="1">
      <alignment horizontal="right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3" fontId="15" fillId="0" borderId="19" xfId="0" applyNumberFormat="1" applyFont="1" applyFill="1" applyBorder="1" applyAlignment="1" applyProtection="1">
      <alignment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0" fontId="2" fillId="0" borderId="48" xfId="10" applyFont="1" applyFill="1" applyBorder="1" applyAlignment="1" applyProtection="1">
      <alignment horizontal="left" vertical="center" wrapText="1" indent="1"/>
    </xf>
    <xf numFmtId="164" fontId="15" fillId="0" borderId="1" xfId="0" applyNumberFormat="1" applyFont="1" applyFill="1" applyBorder="1" applyAlignment="1" applyProtection="1">
      <alignment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3" fontId="2" fillId="0" borderId="66" xfId="0" applyNumberFormat="1" applyFont="1" applyFill="1" applyBorder="1" applyAlignment="1" applyProtection="1">
      <alignment vertical="center" wrapText="1"/>
    </xf>
    <xf numFmtId="3" fontId="2" fillId="0" borderId="22" xfId="0" applyNumberFormat="1" applyFont="1" applyFill="1" applyBorder="1" applyAlignment="1" applyProtection="1">
      <alignment vertical="center" wrapText="1"/>
    </xf>
    <xf numFmtId="164" fontId="4" fillId="0" borderId="19" xfId="0" applyNumberFormat="1" applyFont="1" applyFill="1" applyBorder="1" applyAlignment="1" applyProtection="1">
      <alignment wrapText="1"/>
    </xf>
    <xf numFmtId="0" fontId="8" fillId="0" borderId="28" xfId="0" applyFont="1" applyFill="1" applyBorder="1" applyAlignment="1" applyProtection="1">
      <alignment vertical="center" wrapText="1"/>
    </xf>
    <xf numFmtId="3" fontId="2" fillId="0" borderId="39" xfId="0" applyNumberFormat="1" applyFont="1" applyFill="1" applyBorder="1" applyAlignment="1" applyProtection="1">
      <alignment vertical="center" wrapText="1"/>
    </xf>
    <xf numFmtId="3" fontId="2" fillId="0" borderId="40" xfId="0" applyNumberFormat="1" applyFont="1" applyFill="1" applyBorder="1" applyAlignment="1" applyProtection="1">
      <alignment vertical="center" wrapText="1"/>
    </xf>
    <xf numFmtId="3" fontId="8" fillId="0" borderId="3" xfId="0" applyNumberFormat="1" applyFont="1" applyFill="1" applyBorder="1" applyAlignment="1" applyProtection="1">
      <alignment horizontal="right" wrapText="1"/>
    </xf>
    <xf numFmtId="3" fontId="30" fillId="0" borderId="39" xfId="0" applyNumberFormat="1" applyFont="1" applyFill="1" applyBorder="1" applyAlignment="1" applyProtection="1">
      <alignment vertical="center" wrapText="1"/>
    </xf>
    <xf numFmtId="0" fontId="36" fillId="0" borderId="47" xfId="0" applyFont="1" applyFill="1" applyBorder="1" applyAlignment="1" applyProtection="1">
      <alignment horizontal="center" vertical="center" wrapText="1"/>
    </xf>
    <xf numFmtId="3" fontId="30" fillId="0" borderId="45" xfId="0" applyNumberFormat="1" applyFont="1" applyFill="1" applyBorder="1" applyAlignment="1" applyProtection="1">
      <alignment vertical="center" wrapText="1"/>
    </xf>
    <xf numFmtId="3" fontId="31" fillId="0" borderId="19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 applyProtection="1">
      <alignment horizontal="center" vertical="center" wrapText="1"/>
    </xf>
    <xf numFmtId="164" fontId="4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5" xfId="0" applyNumberFormat="1" applyFont="1" applyFill="1" applyBorder="1" applyAlignment="1" applyProtection="1">
      <alignment vertical="center" wrapText="1"/>
    </xf>
    <xf numFmtId="3" fontId="2" fillId="0" borderId="24" xfId="0" applyNumberFormat="1" applyFont="1" applyFill="1" applyBorder="1" applyAlignment="1" applyProtection="1">
      <alignment wrapText="1"/>
    </xf>
    <xf numFmtId="3" fontId="2" fillId="0" borderId="25" xfId="0" applyNumberFormat="1" applyFont="1" applyFill="1" applyBorder="1" applyAlignment="1" applyProtection="1">
      <alignment wrapText="1"/>
    </xf>
    <xf numFmtId="3" fontId="2" fillId="0" borderId="26" xfId="0" applyNumberFormat="1" applyFont="1" applyFill="1" applyBorder="1" applyAlignment="1" applyProtection="1">
      <alignment wrapText="1"/>
    </xf>
    <xf numFmtId="164" fontId="4" fillId="0" borderId="40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3" fontId="8" fillId="0" borderId="25" xfId="0" applyNumberFormat="1" applyFont="1" applyFill="1" applyBorder="1" applyAlignment="1" applyProtection="1">
      <alignment wrapText="1"/>
      <protection locked="0"/>
    </xf>
    <xf numFmtId="164" fontId="8" fillId="0" borderId="62" xfId="0" applyNumberFormat="1" applyFont="1" applyFill="1" applyBorder="1" applyAlignment="1" applyProtection="1">
      <alignment horizontal="right" wrapText="1"/>
    </xf>
    <xf numFmtId="0" fontId="7" fillId="0" borderId="7" xfId="0" applyFont="1" applyFill="1" applyBorder="1" applyAlignment="1" applyProtection="1">
      <alignment wrapText="1"/>
    </xf>
    <xf numFmtId="164" fontId="2" fillId="0" borderId="38" xfId="0" applyNumberFormat="1" applyFont="1" applyFill="1" applyBorder="1" applyAlignment="1" applyProtection="1">
      <alignment wrapText="1"/>
      <protection locked="0"/>
    </xf>
    <xf numFmtId="0" fontId="1" fillId="0" borderId="35" xfId="0" applyFont="1" applyFill="1" applyBorder="1" applyAlignment="1" applyProtection="1">
      <alignment wrapText="1"/>
    </xf>
    <xf numFmtId="164" fontId="15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4" xfId="0" applyNumberFormat="1" applyFont="1" applyFill="1" applyBorder="1" applyAlignment="1" applyProtection="1">
      <alignment vertical="center" wrapText="1"/>
    </xf>
    <xf numFmtId="3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9" xfId="0" applyNumberFormat="1" applyFont="1" applyFill="1" applyBorder="1" applyAlignment="1" applyProtection="1">
      <alignment horizontal="right" wrapText="1"/>
    </xf>
    <xf numFmtId="164" fontId="8" fillId="0" borderId="40" xfId="0" applyNumberFormat="1" applyFont="1" applyFill="1" applyBorder="1" applyAlignment="1" applyProtection="1">
      <alignment horizontal="right" wrapText="1"/>
    </xf>
    <xf numFmtId="164" fontId="15" fillId="0" borderId="0" xfId="0" applyNumberFormat="1" applyFont="1" applyFill="1" applyBorder="1" applyAlignment="1" applyProtection="1">
      <alignment horizontal="right" wrapText="1"/>
    </xf>
    <xf numFmtId="3" fontId="2" fillId="0" borderId="26" xfId="0" applyNumberFormat="1" applyFont="1" applyFill="1" applyBorder="1" applyAlignment="1" applyProtection="1">
      <alignment wrapText="1"/>
      <protection locked="0"/>
    </xf>
    <xf numFmtId="0" fontId="15" fillId="0" borderId="23" xfId="0" applyFont="1" applyFill="1" applyBorder="1" applyAlignment="1" applyProtection="1">
      <alignment vertical="center" wrapText="1"/>
    </xf>
    <xf numFmtId="0" fontId="15" fillId="0" borderId="23" xfId="0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6" fillId="0" borderId="19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19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3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Fill="1" applyBorder="1" applyAlignment="1" applyProtection="1">
      <alignment horizontal="right" vertical="center" wrapText="1"/>
    </xf>
    <xf numFmtId="0" fontId="16" fillId="0" borderId="9" xfId="0" applyFont="1" applyFill="1" applyBorder="1" applyAlignment="1" applyProtection="1">
      <alignment vertical="center" wrapText="1"/>
    </xf>
    <xf numFmtId="164" fontId="8" fillId="0" borderId="39" xfId="0" applyNumberFormat="1" applyFont="1" applyFill="1" applyBorder="1" applyAlignment="1" applyProtection="1">
      <alignment vertical="center" wrapText="1"/>
    </xf>
    <xf numFmtId="164" fontId="8" fillId="0" borderId="22" xfId="0" applyNumberFormat="1" applyFont="1" applyFill="1" applyBorder="1" applyAlignment="1" applyProtection="1">
      <alignment vertical="center" wrapText="1"/>
    </xf>
    <xf numFmtId="3" fontId="30" fillId="0" borderId="7" xfId="0" applyNumberFormat="1" applyFont="1" applyFill="1" applyBorder="1" applyAlignment="1" applyProtection="1">
      <alignment wrapText="1"/>
    </xf>
    <xf numFmtId="3" fontId="30" fillId="0" borderId="66" xfId="0" applyNumberFormat="1" applyFont="1" applyFill="1" applyBorder="1" applyAlignment="1" applyProtection="1">
      <alignment vertical="center" wrapText="1"/>
    </xf>
    <xf numFmtId="164" fontId="40" fillId="0" borderId="22" xfId="0" applyNumberFormat="1" applyFont="1" applyFill="1" applyBorder="1" applyAlignment="1" applyProtection="1">
      <alignment wrapText="1"/>
      <protection locked="0"/>
    </xf>
    <xf numFmtId="3" fontId="30" fillId="0" borderId="62" xfId="0" applyNumberFormat="1" applyFont="1" applyFill="1" applyBorder="1" applyAlignment="1" applyProtection="1">
      <alignment vertical="center" wrapText="1"/>
    </xf>
    <xf numFmtId="3" fontId="40" fillId="0" borderId="39" xfId="0" applyNumberFormat="1" applyFont="1" applyFill="1" applyBorder="1" applyAlignment="1" applyProtection="1">
      <alignment vertical="center" wrapText="1"/>
    </xf>
    <xf numFmtId="3" fontId="8" fillId="0" borderId="45" xfId="0" applyNumberFormat="1" applyFont="1" applyFill="1" applyBorder="1" applyAlignment="1" applyProtection="1">
      <alignment vertical="center" wrapText="1"/>
    </xf>
    <xf numFmtId="0" fontId="2" fillId="0" borderId="13" xfId="10" applyFont="1" applyFill="1" applyBorder="1" applyAlignment="1" applyProtection="1">
      <alignment horizontal="left" vertical="center" wrapText="1" indent="1"/>
    </xf>
    <xf numFmtId="0" fontId="2" fillId="0" borderId="14" xfId="10" applyFont="1" applyFill="1" applyBorder="1" applyAlignment="1" applyProtection="1">
      <alignment horizontal="left" vertical="center" wrapText="1" indent="1"/>
    </xf>
    <xf numFmtId="164" fontId="40" fillId="0" borderId="22" xfId="0" applyNumberFormat="1" applyFont="1" applyFill="1" applyBorder="1" applyAlignment="1" applyProtection="1">
      <alignment vertical="center" wrapText="1"/>
      <protection locked="0"/>
    </xf>
    <xf numFmtId="0" fontId="2" fillId="0" borderId="14" xfId="10" applyFont="1" applyFill="1" applyBorder="1" applyAlignment="1" applyProtection="1">
      <alignment horizontal="left" vertical="center" wrapText="1" indent="8"/>
    </xf>
    <xf numFmtId="0" fontId="2" fillId="0" borderId="20" xfId="10" applyFont="1" applyFill="1" applyBorder="1" applyAlignment="1" applyProtection="1">
      <alignment horizontal="left" vertical="center" wrapText="1" indent="8"/>
    </xf>
    <xf numFmtId="0" fontId="7" fillId="0" borderId="7" xfId="0" applyFont="1" applyFill="1" applyBorder="1" applyAlignment="1" applyProtection="1">
      <alignment horizontal="right" wrapText="1"/>
    </xf>
    <xf numFmtId="164" fontId="8" fillId="0" borderId="38" xfId="0" applyNumberFormat="1" applyFont="1" applyFill="1" applyBorder="1" applyAlignment="1" applyProtection="1">
      <alignment horizontal="right" wrapText="1"/>
      <protection locked="0"/>
    </xf>
    <xf numFmtId="0" fontId="35" fillId="0" borderId="18" xfId="0" applyFont="1" applyBorder="1" applyAlignment="1" applyProtection="1">
      <alignment horizontal="left" wrapText="1" indent="1"/>
    </xf>
    <xf numFmtId="3" fontId="4" fillId="0" borderId="43" xfId="0" applyNumberFormat="1" applyFont="1" applyFill="1" applyBorder="1" applyAlignment="1" applyProtection="1">
      <alignment horizontal="right" wrapText="1"/>
    </xf>
    <xf numFmtId="3" fontId="4" fillId="0" borderId="27" xfId="0" applyNumberFormat="1" applyFont="1" applyFill="1" applyBorder="1" applyAlignment="1" applyProtection="1">
      <alignment horizontal="right" wrapText="1"/>
    </xf>
    <xf numFmtId="0" fontId="4" fillId="0" borderId="32" xfId="0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 applyProtection="1">
      <alignment vertical="center" wrapText="1"/>
    </xf>
    <xf numFmtId="0" fontId="15" fillId="0" borderId="66" xfId="0" applyFont="1" applyFill="1" applyBorder="1" applyAlignment="1" applyProtection="1">
      <alignment vertical="center" wrapText="1"/>
    </xf>
    <xf numFmtId="0" fontId="8" fillId="0" borderId="67" xfId="0" applyFont="1" applyFill="1" applyBorder="1" applyAlignment="1" applyProtection="1">
      <alignment vertical="center" wrapText="1"/>
    </xf>
    <xf numFmtId="0" fontId="4" fillId="0" borderId="64" xfId="0" applyFont="1" applyFill="1" applyBorder="1" applyAlignment="1" applyProtection="1">
      <alignment horizontal="left" vertical="center"/>
    </xf>
    <xf numFmtId="0" fontId="4" fillId="0" borderId="7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 wrapText="1"/>
    </xf>
    <xf numFmtId="0" fontId="4" fillId="0" borderId="66" xfId="0" applyFont="1" applyFill="1" applyBorder="1" applyAlignment="1" applyProtection="1">
      <alignment vertical="center" wrapText="1"/>
    </xf>
    <xf numFmtId="0" fontId="4" fillId="0" borderId="67" xfId="0" applyFont="1" applyFill="1" applyBorder="1" applyAlignment="1" applyProtection="1">
      <alignment vertical="center" wrapText="1"/>
    </xf>
    <xf numFmtId="3" fontId="8" fillId="0" borderId="43" xfId="0" applyNumberFormat="1" applyFont="1" applyFill="1" applyBorder="1" applyAlignment="1" applyProtection="1">
      <alignment horizontal="right" wrapText="1"/>
      <protection locked="0"/>
    </xf>
    <xf numFmtId="0" fontId="0" fillId="0" borderId="3" xfId="0" applyFill="1" applyBorder="1" applyAlignment="1" applyProtection="1">
      <alignment wrapText="1"/>
    </xf>
    <xf numFmtId="164" fontId="2" fillId="0" borderId="25" xfId="0" applyNumberFormat="1" applyFont="1" applyFill="1" applyBorder="1" applyAlignment="1" applyProtection="1">
      <alignment wrapText="1"/>
      <protection locked="0"/>
    </xf>
    <xf numFmtId="3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3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0" xfId="12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3" fontId="32" fillId="0" borderId="23" xfId="12" applyNumberFormat="1" applyFont="1" applyFill="1" applyBorder="1" applyAlignment="1">
      <alignment horizontal="center" vertical="center" wrapText="1"/>
    </xf>
    <xf numFmtId="3" fontId="27" fillId="0" borderId="24" xfId="12" applyNumberFormat="1" applyFont="1" applyFill="1" applyBorder="1" applyAlignment="1">
      <alignment horizontal="right" wrapText="1"/>
    </xf>
    <xf numFmtId="3" fontId="27" fillId="0" borderId="25" xfId="12" applyNumberFormat="1" applyFont="1" applyFill="1" applyBorder="1" applyAlignment="1">
      <alignment horizontal="right" shrinkToFit="1"/>
    </xf>
    <xf numFmtId="0" fontId="23" fillId="6" borderId="1" xfId="12" applyFont="1" applyFill="1" applyBorder="1" applyAlignment="1">
      <alignment horizontal="center" vertical="center" wrapText="1"/>
    </xf>
    <xf numFmtId="3" fontId="23" fillId="6" borderId="1" xfId="12" applyNumberFormat="1" applyFont="1" applyFill="1" applyBorder="1" applyAlignment="1">
      <alignment horizontal="right" shrinkToFit="1"/>
    </xf>
    <xf numFmtId="3" fontId="23" fillId="6" borderId="2" xfId="12" applyNumberFormat="1" applyFont="1" applyFill="1" applyBorder="1" applyAlignment="1">
      <alignment horizontal="right" shrinkToFit="1"/>
    </xf>
    <xf numFmtId="3" fontId="23" fillId="6" borderId="10" xfId="12" applyNumberFormat="1" applyFont="1" applyFill="1" applyBorder="1" applyAlignment="1">
      <alignment horizontal="right" shrinkToFit="1"/>
    </xf>
    <xf numFmtId="3" fontId="23" fillId="6" borderId="11" xfId="12" applyNumberFormat="1" applyFont="1" applyFill="1" applyBorder="1" applyAlignment="1">
      <alignment horizontal="right" shrinkToFit="1"/>
    </xf>
    <xf numFmtId="3" fontId="23" fillId="6" borderId="41" xfId="12" applyNumberFormat="1" applyFont="1" applyFill="1" applyBorder="1" applyAlignment="1">
      <alignment horizontal="right" shrinkToFit="1"/>
    </xf>
    <xf numFmtId="3" fontId="23" fillId="6" borderId="23" xfId="12" applyNumberFormat="1" applyFont="1" applyFill="1" applyBorder="1" applyAlignment="1">
      <alignment horizontal="right" shrinkToFit="1"/>
    </xf>
    <xf numFmtId="3" fontId="26" fillId="0" borderId="53" xfId="12" applyNumberFormat="1" applyFont="1" applyFill="1" applyBorder="1" applyAlignment="1">
      <alignment horizontal="right" shrinkToFit="1"/>
    </xf>
    <xf numFmtId="3" fontId="26" fillId="0" borderId="50" xfId="12" applyNumberFormat="1" applyFont="1" applyFill="1" applyBorder="1" applyAlignment="1">
      <alignment horizontal="right" shrinkToFit="1"/>
    </xf>
    <xf numFmtId="3" fontId="23" fillId="0" borderId="50" xfId="12" applyNumberFormat="1" applyFont="1" applyFill="1" applyBorder="1" applyAlignment="1">
      <alignment horizontal="right" shrinkToFit="1"/>
    </xf>
    <xf numFmtId="3" fontId="26" fillId="0" borderId="13" xfId="12" applyNumberFormat="1" applyFont="1" applyFill="1" applyBorder="1" applyAlignment="1">
      <alignment horizontal="right" shrinkToFit="1"/>
    </xf>
    <xf numFmtId="3" fontId="26" fillId="0" borderId="7" xfId="12" applyNumberFormat="1" applyFont="1" applyFill="1" applyBorder="1" applyAlignment="1">
      <alignment horizontal="right" shrinkToFit="1"/>
    </xf>
    <xf numFmtId="0" fontId="20" fillId="0" borderId="0" xfId="12" applyFont="1" applyFill="1"/>
    <xf numFmtId="49" fontId="26" fillId="0" borderId="16" xfId="12" applyNumberFormat="1" applyFont="1" applyFill="1" applyBorder="1" applyAlignment="1">
      <alignment horizontal="center" vertical="center" wrapText="1"/>
    </xf>
    <xf numFmtId="3" fontId="26" fillId="0" borderId="66" xfId="12" applyNumberFormat="1" applyFont="1" applyFill="1" applyBorder="1" applyAlignment="1">
      <alignment horizontal="right" shrinkToFit="1"/>
    </xf>
    <xf numFmtId="0" fontId="26" fillId="0" borderId="14" xfId="12" applyFont="1" applyFill="1" applyBorder="1" applyAlignment="1">
      <alignment horizontal="center" vertical="center" wrapText="1"/>
    </xf>
    <xf numFmtId="3" fontId="1" fillId="0" borderId="66" xfId="0" applyNumberFormat="1" applyFont="1" applyFill="1" applyBorder="1" applyAlignment="1">
      <alignment horizontal="right" wrapText="1"/>
    </xf>
    <xf numFmtId="3" fontId="1" fillId="0" borderId="67" xfId="0" applyNumberFormat="1" applyFont="1" applyFill="1" applyBorder="1" applyAlignment="1">
      <alignment vertical="center" wrapText="1"/>
    </xf>
    <xf numFmtId="3" fontId="1" fillId="0" borderId="22" xfId="0" applyNumberFormat="1" applyFont="1" applyFill="1" applyBorder="1" applyAlignment="1">
      <alignment horizontal="right" wrapText="1"/>
    </xf>
    <xf numFmtId="3" fontId="1" fillId="0" borderId="67" xfId="0" applyNumberFormat="1" applyFont="1" applyFill="1" applyBorder="1" applyAlignment="1">
      <alignment horizontal="right" wrapText="1"/>
    </xf>
    <xf numFmtId="3" fontId="30" fillId="0" borderId="4" xfId="0" applyNumberFormat="1" applyFont="1" applyFill="1" applyBorder="1" applyAlignment="1">
      <alignment horizontal="right" wrapText="1"/>
    </xf>
    <xf numFmtId="3" fontId="30" fillId="0" borderId="24" xfId="0" applyNumberFormat="1" applyFont="1" applyFill="1" applyBorder="1" applyAlignment="1">
      <alignment horizontal="right" wrapText="1"/>
    </xf>
    <xf numFmtId="3" fontId="31" fillId="0" borderId="19" xfId="0" applyNumberFormat="1" applyFont="1" applyFill="1" applyBorder="1" applyAlignment="1">
      <alignment vertical="center" wrapText="1"/>
    </xf>
    <xf numFmtId="3" fontId="1" fillId="0" borderId="24" xfId="10" applyNumberFormat="1" applyFont="1" applyFill="1" applyBorder="1" applyAlignment="1" applyProtection="1">
      <alignment vertical="center" wrapText="1"/>
      <protection locked="0"/>
    </xf>
    <xf numFmtId="164" fontId="23" fillId="0" borderId="19" xfId="0" quotePrefix="1" applyNumberFormat="1" applyFont="1" applyBorder="1" applyAlignment="1" applyProtection="1">
      <alignment wrapText="1"/>
    </xf>
    <xf numFmtId="164" fontId="8" fillId="0" borderId="49" xfId="0" applyNumberFormat="1" applyFont="1" applyFill="1" applyBorder="1" applyAlignment="1" applyProtection="1">
      <alignment horizontal="left" wrapText="1"/>
    </xf>
    <xf numFmtId="164" fontId="40" fillId="0" borderId="12" xfId="0" applyNumberFormat="1" applyFont="1" applyFill="1" applyBorder="1" applyAlignment="1" applyProtection="1">
      <alignment wrapText="1"/>
    </xf>
    <xf numFmtId="164" fontId="8" fillId="0" borderId="73" xfId="0" applyNumberFormat="1" applyFont="1" applyFill="1" applyBorder="1" applyAlignment="1" applyProtection="1">
      <alignment wrapText="1"/>
      <protection locked="0"/>
    </xf>
    <xf numFmtId="164" fontId="40" fillId="0" borderId="22" xfId="0" applyNumberFormat="1" applyFont="1" applyFill="1" applyBorder="1" applyAlignment="1" applyProtection="1">
      <alignment wrapText="1"/>
    </xf>
    <xf numFmtId="164" fontId="8" fillId="0" borderId="74" xfId="0" applyNumberFormat="1" applyFont="1" applyFill="1" applyBorder="1" applyAlignment="1" applyProtection="1">
      <alignment wrapText="1"/>
      <protection locked="0"/>
    </xf>
    <xf numFmtId="164" fontId="40" fillId="0" borderId="66" xfId="0" applyNumberFormat="1" applyFont="1" applyFill="1" applyBorder="1" applyAlignment="1" applyProtection="1">
      <alignment wrapText="1"/>
    </xf>
    <xf numFmtId="164" fontId="22" fillId="0" borderId="2" xfId="0" applyNumberFormat="1" applyFont="1" applyBorder="1" applyAlignment="1" applyProtection="1">
      <alignment wrapText="1"/>
    </xf>
    <xf numFmtId="164" fontId="22" fillId="0" borderId="19" xfId="0" applyNumberFormat="1" applyFont="1" applyBorder="1" applyAlignment="1" applyProtection="1">
      <alignment wrapText="1"/>
    </xf>
    <xf numFmtId="3" fontId="27" fillId="0" borderId="3" xfId="0" applyNumberFormat="1" applyFont="1" applyBorder="1" applyAlignment="1" applyProtection="1">
      <alignment wrapText="1"/>
    </xf>
    <xf numFmtId="3" fontId="27" fillId="0" borderId="22" xfId="0" applyNumberFormat="1" applyFont="1" applyBorder="1" applyAlignment="1" applyProtection="1">
      <alignment wrapText="1"/>
    </xf>
    <xf numFmtId="164" fontId="27" fillId="0" borderId="3" xfId="0" applyNumberFormat="1" applyFont="1" applyBorder="1" applyAlignment="1" applyProtection="1">
      <alignment wrapText="1"/>
    </xf>
    <xf numFmtId="164" fontId="27" fillId="0" borderId="22" xfId="0" applyNumberFormat="1" applyFont="1" applyBorder="1" applyAlignment="1" applyProtection="1">
      <alignment wrapText="1"/>
    </xf>
    <xf numFmtId="0" fontId="27" fillId="0" borderId="3" xfId="0" applyFont="1" applyBorder="1" applyAlignment="1" applyProtection="1">
      <alignment wrapText="1"/>
    </xf>
    <xf numFmtId="0" fontId="27" fillId="0" borderId="35" xfId="0" applyFont="1" applyBorder="1" applyAlignment="1" applyProtection="1">
      <alignment wrapText="1"/>
    </xf>
    <xf numFmtId="3" fontId="27" fillId="0" borderId="35" xfId="0" applyNumberFormat="1" applyFont="1" applyBorder="1" applyAlignment="1" applyProtection="1">
      <alignment wrapText="1"/>
    </xf>
    <xf numFmtId="164" fontId="8" fillId="0" borderId="22" xfId="0" applyNumberFormat="1" applyFont="1" applyFill="1" applyBorder="1" applyAlignment="1" applyProtection="1">
      <alignment wrapText="1"/>
    </xf>
    <xf numFmtId="49" fontId="26" fillId="0" borderId="13" xfId="0" applyNumberFormat="1" applyFont="1" applyBorder="1" applyAlignment="1" applyProtection="1">
      <alignment horizontal="center" vertical="center" wrapText="1"/>
    </xf>
    <xf numFmtId="164" fontId="27" fillId="0" borderId="7" xfId="0" applyNumberFormat="1" applyFont="1" applyBorder="1" applyAlignment="1" applyProtection="1">
      <alignment wrapText="1"/>
    </xf>
    <xf numFmtId="164" fontId="27" fillId="0" borderId="66" xfId="0" applyNumberFormat="1" applyFont="1" applyBorder="1" applyAlignment="1" applyProtection="1">
      <alignment wrapText="1"/>
    </xf>
    <xf numFmtId="3" fontId="27" fillId="0" borderId="67" xfId="0" applyNumberFormat="1" applyFont="1" applyBorder="1" applyAlignment="1" applyProtection="1">
      <alignment wrapText="1"/>
    </xf>
    <xf numFmtId="164" fontId="8" fillId="0" borderId="4" xfId="0" applyNumberFormat="1" applyFont="1" applyFill="1" applyBorder="1" applyAlignment="1" applyProtection="1">
      <alignment horizontal="right" wrapText="1"/>
      <protection locked="0"/>
    </xf>
    <xf numFmtId="164" fontId="8" fillId="0" borderId="3" xfId="0" applyNumberFormat="1" applyFont="1" applyFill="1" applyBorder="1" applyAlignment="1" applyProtection="1">
      <alignment horizontal="right" wrapText="1"/>
      <protection locked="0"/>
    </xf>
    <xf numFmtId="164" fontId="15" fillId="0" borderId="3" xfId="0" applyNumberFormat="1" applyFont="1" applyFill="1" applyBorder="1" applyAlignment="1" applyProtection="1">
      <alignment wrapText="1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horizontal="center" wrapTex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wrapText="1"/>
      <protection locked="0"/>
    </xf>
    <xf numFmtId="164" fontId="8" fillId="0" borderId="66" xfId="0" applyNumberFormat="1" applyFont="1" applyFill="1" applyBorder="1" applyAlignment="1" applyProtection="1">
      <alignment wrapText="1"/>
    </xf>
    <xf numFmtId="164" fontId="4" fillId="0" borderId="34" xfId="0" applyNumberFormat="1" applyFont="1" applyFill="1" applyBorder="1" applyAlignment="1" applyProtection="1">
      <alignment vertical="center" wrapText="1"/>
    </xf>
    <xf numFmtId="164" fontId="4" fillId="0" borderId="35" xfId="0" applyNumberFormat="1" applyFont="1" applyFill="1" applyBorder="1" applyAlignment="1" applyProtection="1">
      <alignment vertical="center" wrapText="1"/>
    </xf>
    <xf numFmtId="164" fontId="0" fillId="0" borderId="35" xfId="0" applyNumberFormat="1" applyFill="1" applyBorder="1" applyAlignment="1" applyProtection="1">
      <alignment vertical="center" wrapText="1"/>
    </xf>
    <xf numFmtId="164" fontId="0" fillId="0" borderId="67" xfId="0" applyNumberForma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right" wrapText="1"/>
    </xf>
    <xf numFmtId="164" fontId="4" fillId="0" borderId="19" xfId="0" applyNumberFormat="1" applyFont="1" applyFill="1" applyBorder="1" applyAlignment="1" applyProtection="1">
      <alignment horizontal="right" wrapText="1"/>
    </xf>
    <xf numFmtId="164" fontId="4" fillId="0" borderId="2" xfId="0" applyNumberFormat="1" applyFont="1" applyFill="1" applyBorder="1" applyAlignment="1" applyProtection="1">
      <alignment wrapText="1"/>
      <protection locked="0"/>
    </xf>
    <xf numFmtId="164" fontId="4" fillId="0" borderId="19" xfId="0" applyNumberFormat="1" applyFont="1" applyFill="1" applyBorder="1" applyAlignment="1" applyProtection="1">
      <alignment wrapText="1"/>
      <protection locked="0"/>
    </xf>
    <xf numFmtId="164" fontId="15" fillId="0" borderId="23" xfId="0" applyNumberFormat="1" applyFont="1" applyFill="1" applyBorder="1" applyAlignment="1" applyProtection="1">
      <alignment horizontal="center" wrapText="1"/>
    </xf>
    <xf numFmtId="164" fontId="8" fillId="0" borderId="19" xfId="0" applyNumberFormat="1" applyFont="1" applyFill="1" applyBorder="1" applyAlignment="1" applyProtection="1">
      <alignment wrapText="1"/>
    </xf>
    <xf numFmtId="164" fontId="8" fillId="0" borderId="46" xfId="0" applyNumberFormat="1" applyFont="1" applyFill="1" applyBorder="1" applyAlignment="1" applyProtection="1">
      <alignment wrapText="1"/>
      <protection locked="0"/>
    </xf>
    <xf numFmtId="164" fontId="8" fillId="0" borderId="7" xfId="0" applyNumberFormat="1" applyFont="1" applyFill="1" applyBorder="1" applyAlignment="1" applyProtection="1">
      <alignment wrapText="1"/>
    </xf>
    <xf numFmtId="164" fontId="8" fillId="0" borderId="59" xfId="0" applyNumberFormat="1" applyFont="1" applyFill="1" applyBorder="1" applyAlignment="1" applyProtection="1">
      <alignment wrapText="1"/>
      <protection locked="0"/>
    </xf>
    <xf numFmtId="164" fontId="8" fillId="0" borderId="66" xfId="0" applyNumberFormat="1" applyFont="1" applyFill="1" applyBorder="1" applyAlignment="1" applyProtection="1">
      <alignment wrapText="1"/>
      <protection locked="0"/>
    </xf>
    <xf numFmtId="164" fontId="8" fillId="0" borderId="22" xfId="0" applyNumberFormat="1" applyFont="1" applyFill="1" applyBorder="1" applyAlignment="1" applyProtection="1">
      <alignment wrapText="1"/>
      <protection locked="0"/>
    </xf>
    <xf numFmtId="164" fontId="40" fillId="0" borderId="25" xfId="0" applyNumberFormat="1" applyFont="1" applyFill="1" applyBorder="1" applyAlignment="1" applyProtection="1">
      <alignment horizontal="right" wrapText="1"/>
    </xf>
    <xf numFmtId="164" fontId="40" fillId="0" borderId="3" xfId="0" applyNumberFormat="1" applyFont="1" applyFill="1" applyBorder="1" applyAlignment="1" applyProtection="1">
      <alignment horizontal="right" wrapText="1"/>
    </xf>
    <xf numFmtId="164" fontId="8" fillId="0" borderId="3" xfId="0" applyNumberFormat="1" applyFont="1" applyFill="1" applyBorder="1" applyAlignment="1" applyProtection="1">
      <alignment horizontal="right" wrapText="1"/>
    </xf>
    <xf numFmtId="49" fontId="26" fillId="0" borderId="3" xfId="12" applyNumberFormat="1" applyFont="1" applyFill="1" applyBorder="1" applyAlignment="1">
      <alignment horizontal="center" vertical="center" wrapText="1"/>
    </xf>
    <xf numFmtId="3" fontId="23" fillId="3" borderId="74" xfId="12" applyNumberFormat="1" applyFont="1" applyFill="1" applyBorder="1" applyAlignment="1">
      <alignment horizontal="right" shrinkToFit="1"/>
    </xf>
    <xf numFmtId="3" fontId="23" fillId="3" borderId="50" xfId="12" applyNumberFormat="1" applyFont="1" applyFill="1" applyBorder="1" applyAlignment="1">
      <alignment horizontal="right" shrinkToFit="1"/>
    </xf>
    <xf numFmtId="3" fontId="23" fillId="0" borderId="40" xfId="12" applyNumberFormat="1" applyFont="1" applyFill="1" applyBorder="1" applyAlignment="1">
      <alignment horizontal="right" shrinkToFit="1"/>
    </xf>
    <xf numFmtId="49" fontId="26" fillId="0" borderId="5" xfId="12" applyNumberFormat="1" applyFont="1" applyFill="1" applyBorder="1" applyAlignment="1">
      <alignment horizontal="center" vertical="center" wrapText="1"/>
    </xf>
    <xf numFmtId="3" fontId="23" fillId="3" borderId="54" xfId="12" applyNumberFormat="1" applyFont="1" applyFill="1" applyBorder="1" applyAlignment="1">
      <alignment horizontal="right" shrinkToFit="1"/>
    </xf>
    <xf numFmtId="164" fontId="8" fillId="0" borderId="14" xfId="0" applyNumberFormat="1" applyFont="1" applyFill="1" applyBorder="1" applyAlignment="1" applyProtection="1">
      <alignment horizontal="left" wrapText="1" indent="1"/>
    </xf>
    <xf numFmtId="164" fontId="8" fillId="0" borderId="30" xfId="0" applyNumberFormat="1" applyFont="1" applyFill="1" applyBorder="1" applyAlignment="1" applyProtection="1">
      <alignment wrapText="1"/>
    </xf>
    <xf numFmtId="164" fontId="8" fillId="0" borderId="8" xfId="0" applyNumberFormat="1" applyFont="1" applyFill="1" applyBorder="1" applyAlignment="1" applyProtection="1">
      <alignment wrapText="1"/>
    </xf>
    <xf numFmtId="164" fontId="8" fillId="0" borderId="45" xfId="0" applyNumberFormat="1" applyFont="1" applyFill="1" applyBorder="1" applyAlignment="1" applyProtection="1">
      <alignment wrapText="1"/>
    </xf>
    <xf numFmtId="164" fontId="8" fillId="0" borderId="33" xfId="0" applyNumberFormat="1" applyFont="1" applyFill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vertical="center" wrapText="1" indent="1"/>
    </xf>
    <xf numFmtId="0" fontId="27" fillId="0" borderId="7" xfId="0" applyFont="1" applyBorder="1" applyAlignment="1" applyProtection="1">
      <alignment horizontal="left" vertical="center" wrapText="1" indent="1"/>
    </xf>
    <xf numFmtId="164" fontId="30" fillId="0" borderId="34" xfId="0" applyNumberFormat="1" applyFont="1" applyFill="1" applyBorder="1" applyAlignment="1" applyProtection="1">
      <alignment horizontal="left" vertical="center" wrapText="1" indent="1"/>
    </xf>
    <xf numFmtId="164" fontId="30" fillId="0" borderId="35" xfId="0" applyNumberFormat="1" applyFont="1" applyFill="1" applyBorder="1" applyAlignment="1" applyProtection="1">
      <alignment horizontal="right" wrapText="1"/>
      <protection locked="0"/>
    </xf>
    <xf numFmtId="3" fontId="7" fillId="0" borderId="66" xfId="0" applyNumberFormat="1" applyFont="1" applyFill="1" applyBorder="1" applyAlignment="1">
      <alignment vertical="center" wrapText="1"/>
    </xf>
    <xf numFmtId="164" fontId="1" fillId="0" borderId="3" xfId="10" applyNumberFormat="1" applyFont="1" applyFill="1" applyBorder="1" applyAlignment="1" applyProtection="1">
      <alignment wrapText="1"/>
      <protection locked="0"/>
    </xf>
    <xf numFmtId="164" fontId="28" fillId="0" borderId="69" xfId="10" applyNumberFormat="1" applyFont="1" applyFill="1" applyBorder="1" applyAlignment="1" applyProtection="1">
      <alignment wrapText="1"/>
    </xf>
    <xf numFmtId="164" fontId="28" fillId="0" borderId="9" xfId="10" applyNumberFormat="1" applyFont="1" applyFill="1" applyBorder="1" applyAlignment="1" applyProtection="1">
      <alignment horizontal="right" vertical="center" wrapText="1" indent="1"/>
    </xf>
    <xf numFmtId="3" fontId="30" fillId="0" borderId="27" xfId="0" applyNumberFormat="1" applyFont="1" applyFill="1" applyBorder="1" applyAlignment="1">
      <alignment horizontal="right" wrapText="1"/>
    </xf>
    <xf numFmtId="0" fontId="1" fillId="0" borderId="62" xfId="0" applyFont="1" applyFill="1" applyBorder="1" applyAlignment="1">
      <alignment vertical="center" wrapText="1"/>
    </xf>
    <xf numFmtId="0" fontId="26" fillId="0" borderId="3" xfId="0" applyFont="1" applyBorder="1" applyAlignment="1" applyProtection="1">
      <alignment horizontal="left" wrapText="1" indent="1"/>
    </xf>
    <xf numFmtId="164" fontId="30" fillId="0" borderId="3" xfId="10" applyNumberFormat="1" applyFont="1" applyFill="1" applyBorder="1" applyAlignment="1" applyProtection="1">
      <alignment wrapText="1"/>
      <protection locked="0"/>
    </xf>
    <xf numFmtId="0" fontId="28" fillId="0" borderId="13" xfId="10" applyFont="1" applyFill="1" applyBorder="1" applyAlignment="1" applyProtection="1">
      <alignment horizontal="center" vertical="center" wrapText="1"/>
    </xf>
    <xf numFmtId="0" fontId="28" fillId="0" borderId="7" xfId="10" applyFont="1" applyFill="1" applyBorder="1" applyAlignment="1" applyProtection="1">
      <alignment horizontal="left" vertical="center" wrapText="1" indent="1"/>
    </xf>
    <xf numFmtId="164" fontId="28" fillId="0" borderId="7" xfId="10" applyNumberFormat="1" applyFont="1" applyFill="1" applyBorder="1" applyAlignment="1" applyProtection="1">
      <alignment wrapText="1"/>
    </xf>
    <xf numFmtId="164" fontId="1" fillId="0" borderId="22" xfId="10" applyNumberFormat="1" applyFont="1" applyFill="1" applyBorder="1" applyAlignment="1" applyProtection="1">
      <alignment wrapText="1"/>
      <protection locked="0"/>
    </xf>
    <xf numFmtId="0" fontId="26" fillId="0" borderId="35" xfId="0" applyFont="1" applyBorder="1" applyAlignment="1" applyProtection="1">
      <alignment horizontal="left" wrapText="1" indent="1"/>
    </xf>
    <xf numFmtId="164" fontId="30" fillId="0" borderId="35" xfId="10" applyNumberFormat="1" applyFont="1" applyFill="1" applyBorder="1" applyAlignment="1" applyProtection="1">
      <alignment wrapText="1"/>
      <protection locked="0"/>
    </xf>
    <xf numFmtId="164" fontId="31" fillId="0" borderId="19" xfId="10" applyNumberFormat="1" applyFont="1" applyFill="1" applyBorder="1" applyAlignment="1" applyProtection="1">
      <alignment vertical="center" wrapText="1"/>
    </xf>
    <xf numFmtId="3" fontId="1" fillId="0" borderId="24" xfId="10" applyNumberFormat="1" applyFont="1" applyFill="1" applyBorder="1" applyAlignment="1" applyProtection="1">
      <alignment horizontal="right" wrapText="1"/>
    </xf>
    <xf numFmtId="3" fontId="1" fillId="0" borderId="39" xfId="10" applyNumberFormat="1" applyFont="1" applyFill="1" applyBorder="1" applyAlignment="1" applyProtection="1">
      <alignment horizontal="right" wrapText="1"/>
    </xf>
    <xf numFmtId="0" fontId="28" fillId="0" borderId="2" xfId="10" applyFont="1" applyFill="1" applyBorder="1" applyAlignment="1" applyProtection="1">
      <alignment horizontal="left" vertical="center" wrapText="1" indent="1"/>
    </xf>
    <xf numFmtId="164" fontId="31" fillId="0" borderId="2" xfId="10" applyNumberFormat="1" applyFont="1" applyFill="1" applyBorder="1" applyAlignment="1" applyProtection="1">
      <alignment wrapText="1"/>
    </xf>
    <xf numFmtId="164" fontId="31" fillId="0" borderId="19" xfId="10" applyNumberFormat="1" applyFont="1" applyFill="1" applyBorder="1" applyAlignment="1" applyProtection="1">
      <alignment wrapText="1"/>
    </xf>
    <xf numFmtId="164" fontId="28" fillId="0" borderId="19" xfId="10" applyNumberFormat="1" applyFont="1" applyFill="1" applyBorder="1" applyAlignment="1" applyProtection="1">
      <alignment vertical="center" wrapText="1"/>
    </xf>
    <xf numFmtId="3" fontId="30" fillId="0" borderId="39" xfId="10" applyNumberFormat="1" applyFont="1" applyFill="1" applyBorder="1" applyAlignment="1" applyProtection="1">
      <alignment vertical="center" wrapText="1"/>
      <protection locked="0"/>
    </xf>
    <xf numFmtId="3" fontId="30" fillId="0" borderId="72" xfId="10" applyNumberFormat="1" applyFont="1" applyFill="1" applyBorder="1" applyAlignment="1" applyProtection="1">
      <alignment wrapText="1"/>
      <protection locked="0"/>
    </xf>
    <xf numFmtId="3" fontId="1" fillId="0" borderId="35" xfId="0" applyNumberFormat="1" applyFont="1" applyFill="1" applyBorder="1" applyAlignment="1">
      <alignment vertical="center" wrapText="1"/>
    </xf>
    <xf numFmtId="3" fontId="38" fillId="0" borderId="38" xfId="0" applyNumberFormat="1" applyFont="1" applyFill="1" applyBorder="1" applyAlignment="1">
      <alignment horizontal="right" wrapText="1"/>
    </xf>
    <xf numFmtId="3" fontId="28" fillId="0" borderId="19" xfId="10" applyNumberFormat="1" applyFont="1" applyFill="1" applyBorder="1" applyAlignment="1" applyProtection="1">
      <alignment wrapText="1"/>
    </xf>
    <xf numFmtId="3" fontId="1" fillId="0" borderId="39" xfId="10" applyNumberFormat="1" applyFont="1" applyFill="1" applyBorder="1" applyAlignment="1" applyProtection="1">
      <alignment wrapText="1"/>
      <protection locked="0"/>
    </xf>
    <xf numFmtId="3" fontId="30" fillId="0" borderId="34" xfId="10" applyNumberFormat="1" applyFont="1" applyFill="1" applyBorder="1" applyAlignment="1" applyProtection="1">
      <alignment wrapText="1"/>
      <protection locked="0"/>
    </xf>
    <xf numFmtId="3" fontId="30" fillId="0" borderId="35" xfId="0" applyNumberFormat="1" applyFont="1" applyFill="1" applyBorder="1" applyAlignment="1">
      <alignment vertical="center" wrapText="1"/>
    </xf>
    <xf numFmtId="3" fontId="30" fillId="0" borderId="35" xfId="0" applyNumberFormat="1" applyFont="1" applyFill="1" applyBorder="1" applyAlignment="1">
      <alignment wrapText="1"/>
    </xf>
    <xf numFmtId="0" fontId="30" fillId="0" borderId="67" xfId="0" applyFont="1" applyFill="1" applyBorder="1" applyAlignment="1">
      <alignment vertical="center" wrapText="1"/>
    </xf>
    <xf numFmtId="3" fontId="23" fillId="0" borderId="2" xfId="0" quotePrefix="1" applyNumberFormat="1" applyFont="1" applyBorder="1" applyAlignment="1" applyProtection="1">
      <alignment horizontal="right" wrapText="1"/>
    </xf>
    <xf numFmtId="3" fontId="23" fillId="0" borderId="19" xfId="0" quotePrefix="1" applyNumberFormat="1" applyFont="1" applyBorder="1" applyAlignment="1" applyProtection="1">
      <alignment wrapText="1"/>
    </xf>
    <xf numFmtId="164" fontId="28" fillId="0" borderId="19" xfId="10" applyNumberFormat="1" applyFont="1" applyFill="1" applyBorder="1" applyAlignment="1" applyProtection="1">
      <alignment horizontal="right" vertical="center" wrapText="1" indent="1"/>
    </xf>
    <xf numFmtId="3" fontId="30" fillId="0" borderId="67" xfId="0" applyNumberFormat="1" applyFont="1" applyFill="1" applyBorder="1" applyAlignment="1">
      <alignment vertical="center" wrapText="1"/>
    </xf>
    <xf numFmtId="3" fontId="1" fillId="0" borderId="22" xfId="10" applyNumberFormat="1" applyFont="1" applyFill="1" applyBorder="1" applyAlignment="1" applyProtection="1">
      <alignment horizontal="right" vertical="center" wrapText="1"/>
      <protection locked="0"/>
    </xf>
    <xf numFmtId="3" fontId="1" fillId="0" borderId="7" xfId="0" applyNumberFormat="1" applyFont="1" applyFill="1" applyBorder="1" applyAlignment="1">
      <alignment horizontal="right" vertical="center" wrapText="1"/>
    </xf>
    <xf numFmtId="3" fontId="1" fillId="0" borderId="67" xfId="0" applyNumberFormat="1" applyFont="1" applyFill="1" applyBorder="1" applyAlignment="1">
      <alignment horizontal="right" vertical="center" wrapText="1"/>
    </xf>
    <xf numFmtId="3" fontId="30" fillId="0" borderId="34" xfId="10" applyNumberFormat="1" applyFont="1" applyFill="1" applyBorder="1" applyAlignment="1" applyProtection="1">
      <alignment horizontal="right" wrapText="1"/>
      <protection locked="0"/>
    </xf>
    <xf numFmtId="3" fontId="30" fillId="0" borderId="35" xfId="0" applyNumberFormat="1" applyFont="1" applyFill="1" applyBorder="1" applyAlignment="1">
      <alignment horizontal="right" vertical="center" wrapText="1"/>
    </xf>
    <xf numFmtId="3" fontId="28" fillId="0" borderId="19" xfId="10" applyNumberFormat="1" applyFont="1" applyFill="1" applyBorder="1" applyAlignment="1" applyProtection="1">
      <alignment horizontal="right" vertical="center" wrapText="1" indent="1"/>
    </xf>
    <xf numFmtId="49" fontId="2" fillId="0" borderId="38" xfId="10" applyNumberFormat="1" applyFont="1" applyFill="1" applyBorder="1" applyAlignment="1" applyProtection="1">
      <alignment horizontal="left" vertical="center" wrapText="1" indent="2"/>
    </xf>
    <xf numFmtId="3" fontId="1" fillId="0" borderId="38" xfId="0" applyNumberFormat="1" applyFont="1" applyFill="1" applyBorder="1" applyAlignment="1">
      <alignment horizontal="right" wrapText="1"/>
    </xf>
    <xf numFmtId="3" fontId="28" fillId="0" borderId="19" xfId="10" applyNumberFormat="1" applyFont="1" applyFill="1" applyBorder="1" applyAlignment="1" applyProtection="1">
      <alignment horizontal="right" vertical="center" wrapText="1"/>
    </xf>
    <xf numFmtId="3" fontId="1" fillId="0" borderId="27" xfId="0" applyNumberFormat="1" applyFont="1" applyFill="1" applyBorder="1" applyAlignment="1">
      <alignment horizontal="right" wrapText="1"/>
    </xf>
    <xf numFmtId="3" fontId="38" fillId="0" borderId="39" xfId="10" applyNumberFormat="1" applyFont="1" applyFill="1" applyBorder="1" applyAlignment="1" applyProtection="1">
      <alignment horizontal="right" wrapText="1"/>
    </xf>
    <xf numFmtId="3" fontId="30" fillId="0" borderId="39" xfId="10" applyNumberFormat="1" applyFont="1" applyFill="1" applyBorder="1" applyAlignment="1" applyProtection="1">
      <alignment horizontal="right" vertical="center" wrapText="1"/>
      <protection locked="0"/>
    </xf>
    <xf numFmtId="3" fontId="31" fillId="0" borderId="19" xfId="10" applyNumberFormat="1" applyFont="1" applyFill="1" applyBorder="1" applyAlignment="1" applyProtection="1">
      <alignment horizontal="right" vertical="center" wrapText="1"/>
    </xf>
    <xf numFmtId="3" fontId="31" fillId="0" borderId="19" xfId="10" applyNumberFormat="1" applyFont="1" applyFill="1" applyBorder="1" applyAlignment="1" applyProtection="1">
      <alignment horizontal="right" vertical="center" wrapText="1" indent="1"/>
    </xf>
    <xf numFmtId="3" fontId="30" fillId="0" borderId="40" xfId="0" applyNumberFormat="1" applyFont="1" applyFill="1" applyBorder="1" applyAlignment="1">
      <alignment vertical="center" wrapText="1"/>
    </xf>
    <xf numFmtId="3" fontId="1" fillId="0" borderId="22" xfId="10" applyNumberFormat="1" applyFont="1" applyFill="1" applyBorder="1" applyAlignment="1" applyProtection="1">
      <alignment wrapText="1"/>
      <protection locked="0"/>
    </xf>
    <xf numFmtId="0" fontId="1" fillId="0" borderId="38" xfId="10" applyFont="1" applyFill="1" applyBorder="1" applyAlignment="1" applyProtection="1">
      <alignment horizontal="left" vertical="center" wrapText="1" indent="5"/>
    </xf>
    <xf numFmtId="3" fontId="38" fillId="0" borderId="35" xfId="0" applyNumberFormat="1" applyFont="1" applyFill="1" applyBorder="1" applyAlignment="1">
      <alignment wrapText="1"/>
    </xf>
    <xf numFmtId="3" fontId="30" fillId="0" borderId="39" xfId="0" applyNumberFormat="1" applyFont="1" applyFill="1" applyBorder="1" applyAlignment="1">
      <alignment wrapText="1"/>
    </xf>
    <xf numFmtId="3" fontId="30" fillId="0" borderId="22" xfId="0" applyNumberFormat="1" applyFont="1" applyFill="1" applyBorder="1" applyAlignment="1">
      <alignment wrapText="1"/>
    </xf>
    <xf numFmtId="3" fontId="30" fillId="0" borderId="66" xfId="0" applyNumberFormat="1" applyFont="1" applyFill="1" applyBorder="1" applyAlignment="1">
      <alignment vertical="center" wrapText="1"/>
    </xf>
    <xf numFmtId="3" fontId="1" fillId="0" borderId="66" xfId="0" applyNumberFormat="1" applyFont="1" applyFill="1" applyBorder="1" applyAlignment="1">
      <alignment vertical="center" wrapText="1"/>
    </xf>
    <xf numFmtId="3" fontId="1" fillId="0" borderId="13" xfId="1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7" xfId="0" applyNumberFormat="1" applyFont="1" applyFill="1" applyBorder="1" applyAlignment="1">
      <alignment vertical="center" wrapText="1"/>
    </xf>
    <xf numFmtId="3" fontId="1" fillId="0" borderId="22" xfId="10" applyNumberFormat="1" applyFont="1" applyFill="1" applyBorder="1" applyAlignment="1" applyProtection="1">
      <alignment vertical="center" wrapText="1"/>
      <protection locked="0"/>
    </xf>
    <xf numFmtId="3" fontId="30" fillId="0" borderId="34" xfId="10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13" xfId="1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34" xfId="1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35" xfId="0" applyNumberFormat="1" applyFont="1" applyFill="1" applyBorder="1" applyAlignment="1">
      <alignment vertical="center" wrapText="1"/>
    </xf>
    <xf numFmtId="3" fontId="30" fillId="0" borderId="22" xfId="10" applyNumberFormat="1" applyFont="1" applyFill="1" applyBorder="1" applyAlignment="1" applyProtection="1">
      <alignment wrapText="1"/>
      <protection locked="0"/>
    </xf>
    <xf numFmtId="3" fontId="31" fillId="0" borderId="19" xfId="10" applyNumberFormat="1" applyFont="1" applyFill="1" applyBorder="1" applyAlignment="1" applyProtection="1">
      <alignment vertical="center" wrapText="1"/>
    </xf>
    <xf numFmtId="3" fontId="31" fillId="0" borderId="19" xfId="10" applyNumberFormat="1" applyFont="1" applyFill="1" applyBorder="1" applyAlignment="1" applyProtection="1">
      <alignment wrapText="1"/>
    </xf>
    <xf numFmtId="3" fontId="1" fillId="0" borderId="39" xfId="10" applyNumberFormat="1" applyFont="1" applyFill="1" applyBorder="1" applyAlignment="1" applyProtection="1">
      <alignment wrapText="1"/>
    </xf>
    <xf numFmtId="0" fontId="1" fillId="0" borderId="7" xfId="10" applyFont="1" applyFill="1" applyBorder="1" applyAlignment="1" applyProtection="1">
      <alignment horizontal="left" vertical="center" wrapText="1" indent="1"/>
    </xf>
    <xf numFmtId="3" fontId="1" fillId="0" borderId="7" xfId="10" applyNumberFormat="1" applyFont="1" applyFill="1" applyBorder="1" applyAlignment="1" applyProtection="1">
      <alignment wrapText="1"/>
      <protection locked="0"/>
    </xf>
    <xf numFmtId="3" fontId="1" fillId="0" borderId="66" xfId="10" applyNumberFormat="1" applyFont="1" applyFill="1" applyBorder="1" applyAlignment="1" applyProtection="1">
      <alignment wrapText="1"/>
      <protection locked="0"/>
    </xf>
    <xf numFmtId="0" fontId="1" fillId="0" borderId="35" xfId="10" applyFont="1" applyFill="1" applyBorder="1" applyAlignment="1" applyProtection="1">
      <alignment horizontal="left" vertical="center" wrapText="1" indent="1"/>
    </xf>
    <xf numFmtId="3" fontId="30" fillId="0" borderId="35" xfId="10" applyNumberFormat="1" applyFont="1" applyFill="1" applyBorder="1" applyAlignment="1" applyProtection="1">
      <alignment wrapText="1"/>
      <protection locked="0"/>
    </xf>
    <xf numFmtId="3" fontId="7" fillId="0" borderId="40" xfId="0" applyNumberFormat="1" applyFont="1" applyFill="1" applyBorder="1" applyAlignment="1">
      <alignment vertical="center" wrapText="1"/>
    </xf>
    <xf numFmtId="3" fontId="23" fillId="0" borderId="19" xfId="0" applyNumberFormat="1" applyFont="1" applyBorder="1" applyAlignment="1" applyProtection="1">
      <alignment wrapText="1"/>
    </xf>
    <xf numFmtId="3" fontId="23" fillId="0" borderId="62" xfId="0" quotePrefix="1" applyNumberFormat="1" applyFont="1" applyBorder="1" applyAlignment="1" applyProtection="1">
      <alignment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3" fontId="4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3" xfId="0" applyNumberFormat="1" applyFont="1" applyFill="1" applyBorder="1" applyAlignment="1" applyProtection="1">
      <alignment vertical="center" wrapText="1"/>
    </xf>
    <xf numFmtId="3" fontId="40" fillId="0" borderId="3" xfId="0" applyNumberFormat="1" applyFont="1" applyFill="1" applyBorder="1" applyAlignment="1" applyProtection="1">
      <alignment horizontal="right" wrapText="1"/>
    </xf>
    <xf numFmtId="0" fontId="22" fillId="0" borderId="1" xfId="0" applyFont="1" applyBorder="1" applyAlignment="1" applyProtection="1">
      <alignment horizontal="center" wrapText="1"/>
    </xf>
    <xf numFmtId="0" fontId="35" fillId="0" borderId="6" xfId="0" applyFont="1" applyBorder="1" applyAlignment="1" applyProtection="1">
      <alignment horizontal="left" wrapText="1"/>
    </xf>
    <xf numFmtId="3" fontId="4" fillId="0" borderId="19" xfId="0" applyNumberFormat="1" applyFont="1" applyFill="1" applyBorder="1" applyAlignment="1" applyProtection="1">
      <alignment wrapText="1"/>
    </xf>
    <xf numFmtId="164" fontId="4" fillId="0" borderId="11" xfId="10" applyNumberFormat="1" applyFont="1" applyFill="1" applyBorder="1" applyAlignment="1" applyProtection="1">
      <alignment vertical="center" wrapText="1"/>
    </xf>
    <xf numFmtId="49" fontId="38" fillId="0" borderId="13" xfId="10" applyNumberFormat="1" applyFont="1" applyFill="1" applyBorder="1" applyAlignment="1" applyProtection="1">
      <alignment horizontal="center" vertical="center" wrapText="1"/>
    </xf>
    <xf numFmtId="0" fontId="38" fillId="0" borderId="28" xfId="10" applyFont="1" applyFill="1" applyBorder="1" applyAlignment="1" applyProtection="1">
      <alignment horizontal="left" vertical="center" wrapText="1" indent="1"/>
    </xf>
    <xf numFmtId="164" fontId="40" fillId="0" borderId="13" xfId="10" applyNumberFormat="1" applyFont="1" applyFill="1" applyBorder="1" applyAlignment="1" applyProtection="1">
      <alignment vertical="center" wrapText="1"/>
      <protection locked="0"/>
    </xf>
    <xf numFmtId="164" fontId="40" fillId="0" borderId="7" xfId="10" applyNumberFormat="1" applyFont="1" applyFill="1" applyBorder="1" applyAlignment="1" applyProtection="1">
      <alignment vertical="center" wrapText="1"/>
      <protection locked="0"/>
    </xf>
    <xf numFmtId="164" fontId="40" fillId="0" borderId="66" xfId="10" applyNumberFormat="1" applyFont="1" applyFill="1" applyBorder="1" applyAlignment="1" applyProtection="1">
      <alignment vertical="center" wrapText="1"/>
      <protection locked="0"/>
    </xf>
    <xf numFmtId="3" fontId="2" fillId="0" borderId="34" xfId="10" applyNumberFormat="1" applyFont="1" applyFill="1" applyBorder="1" applyAlignment="1" applyProtection="1">
      <alignment vertical="center" wrapText="1"/>
      <protection locked="0"/>
    </xf>
    <xf numFmtId="3" fontId="2" fillId="0" borderId="35" xfId="0" applyNumberFormat="1" applyFont="1" applyFill="1" applyBorder="1" applyAlignment="1">
      <alignment vertical="center" wrapText="1"/>
    </xf>
    <xf numFmtId="3" fontId="8" fillId="0" borderId="62" xfId="0" applyNumberFormat="1" applyFont="1" applyFill="1" applyBorder="1" applyAlignment="1">
      <alignment vertical="center" wrapText="1"/>
    </xf>
    <xf numFmtId="3" fontId="8" fillId="0" borderId="13" xfId="10" applyNumberFormat="1" applyFont="1" applyFill="1" applyBorder="1" applyAlignment="1" applyProtection="1">
      <alignment vertical="center" wrapText="1"/>
      <protection locked="0"/>
    </xf>
    <xf numFmtId="3" fontId="40" fillId="0" borderId="57" xfId="10" applyNumberFormat="1" applyFont="1" applyFill="1" applyBorder="1" applyAlignment="1" applyProtection="1">
      <alignment vertical="center" wrapText="1"/>
      <protection locked="0"/>
    </xf>
    <xf numFmtId="49" fontId="2" fillId="0" borderId="35" xfId="10" applyNumberFormat="1" applyFont="1" applyFill="1" applyBorder="1" applyAlignment="1" applyProtection="1">
      <alignment horizontal="left" vertical="center" wrapText="1" indent="2"/>
    </xf>
    <xf numFmtId="3" fontId="8" fillId="0" borderId="35" xfId="10" applyNumberFormat="1" applyFont="1" applyFill="1" applyBorder="1" applyAlignment="1" applyProtection="1">
      <alignment vertical="center" wrapText="1"/>
      <protection locked="0"/>
    </xf>
    <xf numFmtId="3" fontId="8" fillId="0" borderId="35" xfId="0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vertical="center" wrapText="1"/>
    </xf>
    <xf numFmtId="164" fontId="30" fillId="0" borderId="35" xfId="0" applyNumberFormat="1" applyFont="1" applyFill="1" applyBorder="1" applyAlignment="1">
      <alignment vertical="center" wrapText="1"/>
    </xf>
    <xf numFmtId="164" fontId="23" fillId="0" borderId="19" xfId="0" quotePrefix="1" applyNumberFormat="1" applyFont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wrapText="1"/>
      <protection locked="0"/>
    </xf>
    <xf numFmtId="164" fontId="13" fillId="0" borderId="63" xfId="0" applyNumberFormat="1" applyFont="1" applyFill="1" applyBorder="1" applyAlignment="1" applyProtection="1">
      <alignment horizontal="center" vertical="center" wrapText="1"/>
    </xf>
    <xf numFmtId="164" fontId="8" fillId="0" borderId="66" xfId="0" applyNumberFormat="1" applyFont="1" applyFill="1" applyBorder="1" applyAlignment="1" applyProtection="1">
      <alignment horizontal="right" wrapText="1"/>
      <protection locked="0"/>
    </xf>
    <xf numFmtId="164" fontId="8" fillId="0" borderId="39" xfId="0" applyNumberFormat="1" applyFont="1" applyFill="1" applyBorder="1" applyAlignment="1" applyProtection="1">
      <alignment horizontal="right" wrapText="1"/>
      <protection locked="0"/>
    </xf>
    <xf numFmtId="164" fontId="40" fillId="0" borderId="39" xfId="0" applyNumberFormat="1" applyFont="1" applyFill="1" applyBorder="1" applyAlignment="1" applyProtection="1">
      <alignment horizontal="right" wrapText="1"/>
      <protection locked="0"/>
    </xf>
    <xf numFmtId="164" fontId="40" fillId="0" borderId="4" xfId="0" applyNumberFormat="1" applyFont="1" applyFill="1" applyBorder="1" applyAlignment="1" applyProtection="1">
      <alignment horizontal="right" wrapText="1"/>
    </xf>
    <xf numFmtId="164" fontId="40" fillId="0" borderId="3" xfId="0" applyNumberFormat="1" applyFont="1" applyFill="1" applyBorder="1" applyAlignment="1" applyProtection="1">
      <alignment vertical="center" wrapText="1"/>
    </xf>
    <xf numFmtId="164" fontId="40" fillId="0" borderId="22" xfId="0" applyNumberFormat="1" applyFont="1" applyFill="1" applyBorder="1" applyAlignment="1" applyProtection="1">
      <alignment vertical="center" wrapText="1"/>
    </xf>
    <xf numFmtId="164" fontId="8" fillId="0" borderId="22" xfId="0" applyNumberFormat="1" applyFont="1" applyFill="1" applyBorder="1" applyAlignment="1" applyProtection="1">
      <alignment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vertical="center" wrapText="1"/>
    </xf>
    <xf numFmtId="49" fontId="1" fillId="0" borderId="64" xfId="1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0" fillId="0" borderId="28" xfId="0" applyNumberFormat="1" applyFont="1" applyFill="1" applyBorder="1" applyAlignment="1">
      <alignment vertical="center" wrapText="1"/>
    </xf>
    <xf numFmtId="164" fontId="1" fillId="0" borderId="35" xfId="10" applyNumberFormat="1" applyFont="1" applyFill="1" applyBorder="1" applyAlignment="1" applyProtection="1">
      <alignment vertical="center" wrapText="1"/>
      <protection locked="0"/>
    </xf>
    <xf numFmtId="0" fontId="30" fillId="0" borderId="38" xfId="0" applyFont="1" applyFill="1" applyBorder="1" applyAlignment="1">
      <alignment vertical="center" wrapText="1"/>
    </xf>
    <xf numFmtId="164" fontId="8" fillId="0" borderId="31" xfId="0" applyNumberFormat="1" applyFont="1" applyFill="1" applyBorder="1" applyAlignment="1" applyProtection="1">
      <alignment horizontal="center" wrapText="1"/>
    </xf>
    <xf numFmtId="164" fontId="8" fillId="0" borderId="44" xfId="0" applyNumberFormat="1" applyFont="1" applyFill="1" applyBorder="1" applyAlignment="1" applyProtection="1">
      <alignment horizontal="center" wrapText="1"/>
    </xf>
    <xf numFmtId="164" fontId="8" fillId="0" borderId="42" xfId="0" applyNumberFormat="1" applyFont="1" applyFill="1" applyBorder="1" applyAlignment="1" applyProtection="1">
      <alignment horizontal="center" wrapText="1"/>
    </xf>
    <xf numFmtId="164" fontId="8" fillId="0" borderId="48" xfId="0" applyNumberFormat="1" applyFont="1" applyFill="1" applyBorder="1" applyAlignment="1" applyProtection="1">
      <alignment horizontal="center" wrapText="1"/>
    </xf>
    <xf numFmtId="164" fontId="8" fillId="0" borderId="55" xfId="0" applyNumberFormat="1" applyFont="1" applyFill="1" applyBorder="1" applyAlignment="1" applyProtection="1">
      <alignment horizontal="left" wrapText="1"/>
    </xf>
    <xf numFmtId="164" fontId="8" fillId="0" borderId="50" xfId="0" applyNumberFormat="1" applyFont="1" applyFill="1" applyBorder="1" applyAlignment="1" applyProtection="1">
      <alignment horizontal="left" wrapText="1"/>
    </xf>
    <xf numFmtId="164" fontId="8" fillId="0" borderId="33" xfId="0" applyNumberFormat="1" applyFont="1" applyFill="1" applyBorder="1" applyAlignment="1" applyProtection="1">
      <alignment horizontal="left" wrapText="1"/>
    </xf>
    <xf numFmtId="164" fontId="8" fillId="0" borderId="53" xfId="0" applyNumberFormat="1" applyFont="1" applyFill="1" applyBorder="1" applyAlignment="1" applyProtection="1">
      <alignment horizontal="left" wrapText="1"/>
    </xf>
    <xf numFmtId="164" fontId="8" fillId="0" borderId="50" xfId="0" applyNumberFormat="1" applyFont="1" applyFill="1" applyBorder="1" applyAlignment="1" applyProtection="1">
      <alignment horizontal="left" wrapText="1"/>
      <protection locked="0"/>
    </xf>
    <xf numFmtId="164" fontId="8" fillId="0" borderId="34" xfId="0" applyNumberFormat="1" applyFont="1" applyFill="1" applyBorder="1" applyAlignment="1" applyProtection="1">
      <alignment horizontal="left" wrapText="1" indent="1"/>
    </xf>
    <xf numFmtId="164" fontId="8" fillId="0" borderId="35" xfId="0" applyNumberFormat="1" applyFont="1" applyFill="1" applyBorder="1" applyAlignment="1" applyProtection="1">
      <alignment wrapText="1"/>
      <protection locked="0"/>
    </xf>
    <xf numFmtId="164" fontId="8" fillId="0" borderId="67" xfId="0" applyNumberFormat="1" applyFont="1" applyFill="1" applyBorder="1" applyAlignment="1" applyProtection="1">
      <alignment wrapText="1"/>
      <protection locked="0"/>
    </xf>
    <xf numFmtId="164" fontId="1" fillId="0" borderId="64" xfId="10" applyNumberFormat="1" applyFont="1" applyFill="1" applyBorder="1" applyAlignment="1" applyProtection="1">
      <alignment wrapText="1"/>
      <protection locked="0"/>
    </xf>
    <xf numFmtId="164" fontId="1" fillId="0" borderId="72" xfId="10" applyNumberFormat="1" applyFont="1" applyFill="1" applyBorder="1" applyAlignment="1" applyProtection="1">
      <alignment wrapText="1"/>
      <protection locked="0"/>
    </xf>
    <xf numFmtId="164" fontId="28" fillId="0" borderId="66" xfId="10" applyNumberFormat="1" applyFont="1" applyFill="1" applyBorder="1" applyAlignment="1" applyProtection="1">
      <alignment wrapText="1"/>
    </xf>
    <xf numFmtId="0" fontId="1" fillId="0" borderId="3" xfId="0" applyFont="1" applyFill="1" applyBorder="1" applyAlignment="1">
      <alignment wrapText="1"/>
    </xf>
    <xf numFmtId="3" fontId="28" fillId="0" borderId="3" xfId="10" applyNumberFormat="1" applyFont="1" applyFill="1" applyBorder="1" applyAlignment="1" applyProtection="1">
      <alignment wrapText="1"/>
    </xf>
    <xf numFmtId="3" fontId="28" fillId="0" borderId="22" xfId="10" applyNumberFormat="1" applyFont="1" applyFill="1" applyBorder="1" applyAlignment="1" applyProtection="1">
      <alignment wrapText="1"/>
    </xf>
    <xf numFmtId="3" fontId="1" fillId="0" borderId="3" xfId="0" applyNumberFormat="1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2" xfId="0" applyNumberFormat="1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3" fontId="1" fillId="0" borderId="67" xfId="0" applyNumberFormat="1" applyFont="1" applyFill="1" applyBorder="1" applyAlignment="1">
      <alignment wrapText="1"/>
    </xf>
    <xf numFmtId="164" fontId="30" fillId="0" borderId="48" xfId="10" applyNumberFormat="1" applyFont="1" applyFill="1" applyBorder="1" applyAlignment="1" applyProtection="1">
      <alignment wrapText="1"/>
      <protection locked="0"/>
    </xf>
    <xf numFmtId="164" fontId="28" fillId="0" borderId="9" xfId="10" applyNumberFormat="1" applyFont="1" applyFill="1" applyBorder="1" applyAlignment="1" applyProtection="1">
      <alignment vertical="center" wrapText="1"/>
    </xf>
    <xf numFmtId="164" fontId="31" fillId="0" borderId="1" xfId="10" applyNumberFormat="1" applyFont="1" applyFill="1" applyBorder="1" applyAlignment="1" applyProtection="1">
      <alignment wrapText="1"/>
    </xf>
    <xf numFmtId="3" fontId="30" fillId="0" borderId="44" xfId="10" applyNumberFormat="1" applyFont="1" applyFill="1" applyBorder="1" applyAlignment="1" applyProtection="1">
      <alignment horizontal="right" wrapText="1"/>
      <protection locked="0"/>
    </xf>
    <xf numFmtId="3" fontId="30" fillId="0" borderId="75" xfId="10" applyNumberFormat="1" applyFont="1" applyFill="1" applyBorder="1" applyAlignment="1" applyProtection="1">
      <alignment horizontal="right" wrapText="1"/>
      <protection locked="0"/>
    </xf>
    <xf numFmtId="3" fontId="1" fillId="0" borderId="45" xfId="0" applyNumberFormat="1" applyFont="1" applyFill="1" applyBorder="1" applyAlignment="1">
      <alignment vertical="center" wrapText="1"/>
    </xf>
    <xf numFmtId="3" fontId="30" fillId="0" borderId="28" xfId="10" applyNumberFormat="1" applyFont="1" applyFill="1" applyBorder="1" applyAlignment="1" applyProtection="1">
      <alignment horizontal="right" wrapText="1"/>
    </xf>
    <xf numFmtId="3" fontId="30" fillId="0" borderId="66" xfId="10" applyNumberFormat="1" applyFont="1" applyFill="1" applyBorder="1" applyAlignment="1" applyProtection="1">
      <alignment horizontal="right" wrapText="1"/>
    </xf>
    <xf numFmtId="3" fontId="1" fillId="0" borderId="25" xfId="10" applyNumberFormat="1" applyFont="1" applyFill="1" applyBorder="1" applyAlignment="1" applyProtection="1">
      <alignment wrapText="1"/>
      <protection locked="0"/>
    </xf>
    <xf numFmtId="3" fontId="30" fillId="0" borderId="22" xfId="0" applyNumberFormat="1" applyFont="1" applyFill="1" applyBorder="1" applyAlignment="1">
      <alignment horizontal="right" wrapText="1"/>
    </xf>
    <xf numFmtId="3" fontId="26" fillId="0" borderId="26" xfId="12" applyNumberFormat="1" applyFont="1" applyFill="1" applyBorder="1" applyAlignment="1">
      <alignment horizontal="right" shrinkToFit="1"/>
    </xf>
    <xf numFmtId="0" fontId="21" fillId="0" borderId="0" xfId="11" applyFont="1"/>
    <xf numFmtId="0" fontId="57" fillId="4" borderId="42" xfId="11" applyFont="1" applyFill="1" applyBorder="1"/>
    <xf numFmtId="0" fontId="57" fillId="4" borderId="8" xfId="11" applyFont="1" applyFill="1" applyBorder="1"/>
    <xf numFmtId="0" fontId="57" fillId="4" borderId="30" xfId="11" applyFont="1" applyFill="1" applyBorder="1"/>
    <xf numFmtId="0" fontId="58" fillId="0" borderId="0" xfId="11" applyFont="1"/>
    <xf numFmtId="0" fontId="23" fillId="0" borderId="13" xfId="11" applyFont="1" applyFill="1" applyBorder="1" applyAlignment="1">
      <alignment horizontal="center" vertical="center" wrapText="1"/>
    </xf>
    <xf numFmtId="0" fontId="23" fillId="0" borderId="7" xfId="11" applyFont="1" applyFill="1" applyBorder="1" applyAlignment="1">
      <alignment horizontal="center" vertical="center" wrapText="1"/>
    </xf>
    <xf numFmtId="0" fontId="59" fillId="0" borderId="46" xfId="11" applyFont="1" applyFill="1" applyBorder="1" applyAlignment="1">
      <alignment horizontal="center" vertical="center"/>
    </xf>
    <xf numFmtId="0" fontId="23" fillId="0" borderId="55" xfId="11" applyFont="1" applyFill="1" applyBorder="1" applyAlignment="1">
      <alignment horizontal="center" vertical="center" wrapText="1"/>
    </xf>
    <xf numFmtId="0" fontId="23" fillId="0" borderId="66" xfId="11" applyFont="1" applyFill="1" applyBorder="1" applyAlignment="1">
      <alignment horizontal="center" vertical="center" wrapText="1"/>
    </xf>
    <xf numFmtId="0" fontId="57" fillId="4" borderId="14" xfId="11" applyFont="1" applyFill="1" applyBorder="1" applyAlignment="1">
      <alignment horizontal="center"/>
    </xf>
    <xf numFmtId="0" fontId="57" fillId="4" borderId="3" xfId="11" applyFont="1" applyFill="1" applyBorder="1" applyAlignment="1">
      <alignment horizontal="center"/>
    </xf>
    <xf numFmtId="0" fontId="57" fillId="4" borderId="27" xfId="11" applyFont="1" applyFill="1" applyBorder="1"/>
    <xf numFmtId="0" fontId="58" fillId="0" borderId="50" xfId="11" applyFont="1" applyBorder="1"/>
    <xf numFmtId="0" fontId="21" fillId="0" borderId="3" xfId="11" applyFont="1" applyBorder="1"/>
    <xf numFmtId="0" fontId="21" fillId="0" borderId="22" xfId="11" applyFont="1" applyBorder="1"/>
    <xf numFmtId="0" fontId="27" fillId="0" borderId="14" xfId="11" applyFont="1" applyBorder="1" applyAlignment="1">
      <alignment horizontal="center" vertical="center"/>
    </xf>
    <xf numFmtId="0" fontId="27" fillId="0" borderId="3" xfId="11" applyFont="1" applyBorder="1" applyAlignment="1">
      <alignment vertical="center"/>
    </xf>
    <xf numFmtId="0" fontId="58" fillId="4" borderId="30" xfId="11" applyFont="1" applyFill="1" applyBorder="1"/>
    <xf numFmtId="0" fontId="27" fillId="0" borderId="50" xfId="11" applyFont="1" applyBorder="1" applyAlignment="1">
      <alignment vertical="center"/>
    </xf>
    <xf numFmtId="0" fontId="22" fillId="3" borderId="22" xfId="11" applyFont="1" applyFill="1" applyBorder="1" applyAlignment="1">
      <alignment vertical="center"/>
    </xf>
    <xf numFmtId="0" fontId="58" fillId="0" borderId="8" xfId="11" applyFont="1" applyBorder="1"/>
    <xf numFmtId="0" fontId="27" fillId="0" borderId="33" xfId="11" applyFont="1" applyBorder="1"/>
    <xf numFmtId="0" fontId="27" fillId="0" borderId="3" xfId="11" applyFont="1" applyFill="1" applyBorder="1" applyAlignment="1">
      <alignment vertical="center"/>
    </xf>
    <xf numFmtId="0" fontId="60" fillId="0" borderId="3" xfId="11" applyFont="1" applyBorder="1"/>
    <xf numFmtId="49" fontId="58" fillId="0" borderId="34" xfId="11" applyNumberFormat="1" applyFont="1" applyFill="1" applyBorder="1"/>
    <xf numFmtId="0" fontId="22" fillId="0" borderId="35" xfId="11" applyFont="1" applyFill="1" applyBorder="1" applyAlignment="1">
      <alignment vertical="center"/>
    </xf>
    <xf numFmtId="0" fontId="58" fillId="5" borderId="35" xfId="11" applyFont="1" applyFill="1" applyBorder="1"/>
    <xf numFmtId="0" fontId="22" fillId="3" borderId="35" xfId="11" applyFont="1" applyFill="1" applyBorder="1" applyAlignment="1">
      <alignment vertical="center"/>
    </xf>
    <xf numFmtId="0" fontId="22" fillId="3" borderId="67" xfId="11" applyFont="1" applyFill="1" applyBorder="1" applyAlignment="1">
      <alignment vertical="center"/>
    </xf>
    <xf numFmtId="49" fontId="58" fillId="0" borderId="0" xfId="11" applyNumberFormat="1" applyFont="1"/>
    <xf numFmtId="164" fontId="42" fillId="0" borderId="0" xfId="0" applyNumberFormat="1" applyFont="1" applyFill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left" wrapText="1" indent="1"/>
    </xf>
    <xf numFmtId="0" fontId="36" fillId="0" borderId="0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15" fillId="0" borderId="0" xfId="10" applyFont="1" applyFill="1" applyAlignment="1" applyProtection="1">
      <alignment horizontal="center"/>
    </xf>
    <xf numFmtId="164" fontId="48" fillId="0" borderId="0" xfId="10" applyNumberFormat="1" applyFont="1" applyFill="1" applyBorder="1" applyAlignment="1" applyProtection="1">
      <alignment horizontal="left" vertical="center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center" vertical="center" wrapText="1"/>
    </xf>
    <xf numFmtId="0" fontId="28" fillId="0" borderId="63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64" fontId="39" fillId="0" borderId="0" xfId="10" applyNumberFormat="1" applyFont="1" applyFill="1" applyBorder="1" applyAlignment="1" applyProtection="1">
      <alignment horizontal="left" vertical="center"/>
    </xf>
    <xf numFmtId="0" fontId="15" fillId="0" borderId="0" xfId="10" applyFont="1" applyFill="1" applyBorder="1" applyAlignment="1" applyProtection="1">
      <alignment horizontal="center"/>
    </xf>
    <xf numFmtId="0" fontId="34" fillId="0" borderId="4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34" fillId="0" borderId="43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164" fontId="15" fillId="0" borderId="52" xfId="0" applyNumberFormat="1" applyFont="1" applyFill="1" applyBorder="1" applyAlignment="1" applyProtection="1">
      <alignment horizontal="center" vertical="center" wrapText="1"/>
    </xf>
    <xf numFmtId="164" fontId="15" fillId="0" borderId="36" xfId="0" applyNumberFormat="1" applyFont="1" applyFill="1" applyBorder="1" applyAlignment="1" applyProtection="1">
      <alignment horizontal="center" vertical="center" wrapText="1"/>
    </xf>
    <xf numFmtId="164" fontId="42" fillId="0" borderId="11" xfId="0" applyNumberFormat="1" applyFont="1" applyFill="1" applyBorder="1" applyAlignment="1" applyProtection="1">
      <alignment horizontal="center" vertical="center" wrapText="1"/>
    </xf>
    <xf numFmtId="164" fontId="42" fillId="0" borderId="41" xfId="0" applyNumberFormat="1" applyFont="1" applyFill="1" applyBorder="1" applyAlignment="1" applyProtection="1">
      <alignment horizontal="center" vertical="center" wrapText="1"/>
    </xf>
    <xf numFmtId="164" fontId="42" fillId="0" borderId="63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 wrapText="1"/>
    </xf>
    <xf numFmtId="164" fontId="54" fillId="0" borderId="52" xfId="0" applyNumberFormat="1" applyFont="1" applyFill="1" applyBorder="1" applyAlignment="1" applyProtection="1">
      <alignment horizontal="center" vertical="center" wrapText="1"/>
    </xf>
    <xf numFmtId="164" fontId="54" fillId="0" borderId="42" xfId="0" applyNumberFormat="1" applyFont="1" applyFill="1" applyBorder="1" applyAlignment="1" applyProtection="1">
      <alignment horizontal="center" vertical="center" wrapText="1"/>
    </xf>
    <xf numFmtId="164" fontId="4" fillId="0" borderId="31" xfId="0" applyNumberFormat="1" applyFont="1" applyFill="1" applyBorder="1" applyAlignment="1" applyProtection="1">
      <alignment horizontal="center" vertical="center" wrapText="1"/>
    </xf>
    <xf numFmtId="164" fontId="4" fillId="0" borderId="32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41" xfId="0" applyNumberFormat="1" applyFont="1" applyFill="1" applyBorder="1" applyAlignment="1" applyProtection="1">
      <alignment horizontal="center" vertical="center" wrapText="1"/>
    </xf>
    <xf numFmtId="164" fontId="4" fillId="0" borderId="63" xfId="0" applyNumberFormat="1" applyFont="1" applyFill="1" applyBorder="1" applyAlignment="1" applyProtection="1">
      <alignment horizontal="center" vertical="center" wrapText="1"/>
    </xf>
    <xf numFmtId="0" fontId="33" fillId="0" borderId="0" xfId="12" applyFont="1" applyBorder="1" applyAlignment="1">
      <alignment horizontal="center" vertical="center" wrapText="1"/>
    </xf>
    <xf numFmtId="0" fontId="22" fillId="2" borderId="56" xfId="12" applyFont="1" applyFill="1" applyBorder="1" applyAlignment="1">
      <alignment horizontal="center" vertical="center" wrapText="1"/>
    </xf>
    <xf numFmtId="0" fontId="22" fillId="2" borderId="68" xfId="12" applyFont="1" applyFill="1" applyBorder="1" applyAlignment="1">
      <alignment horizontal="center" vertical="center" wrapText="1"/>
    </xf>
    <xf numFmtId="0" fontId="22" fillId="2" borderId="71" xfId="12" applyFont="1" applyFill="1" applyBorder="1" applyAlignment="1">
      <alignment horizontal="center" vertical="center" wrapText="1"/>
    </xf>
    <xf numFmtId="0" fontId="22" fillId="2" borderId="42" xfId="12" applyFont="1" applyFill="1" applyBorder="1" applyAlignment="1">
      <alignment horizontal="center" vertical="center" wrapText="1"/>
    </xf>
    <xf numFmtId="0" fontId="22" fillId="2" borderId="48" xfId="12" applyFont="1" applyFill="1" applyBorder="1" applyAlignment="1">
      <alignment horizontal="center" vertical="center" wrapText="1"/>
    </xf>
    <xf numFmtId="0" fontId="32" fillId="2" borderId="11" xfId="12" applyFont="1" applyFill="1" applyBorder="1" applyAlignment="1">
      <alignment horizontal="center"/>
    </xf>
    <xf numFmtId="0" fontId="32" fillId="2" borderId="41" xfId="12" applyFont="1" applyFill="1" applyBorder="1" applyAlignment="1">
      <alignment horizontal="center"/>
    </xf>
    <xf numFmtId="0" fontId="32" fillId="2" borderId="63" xfId="12" applyFont="1" applyFill="1" applyBorder="1" applyAlignment="1">
      <alignment horizontal="center"/>
    </xf>
    <xf numFmtId="0" fontId="22" fillId="0" borderId="11" xfId="12" applyFont="1" applyBorder="1" applyAlignment="1">
      <alignment horizontal="center" vertical="center"/>
    </xf>
    <xf numFmtId="0" fontId="22" fillId="0" borderId="41" xfId="12" applyFont="1" applyBorder="1" applyAlignment="1">
      <alignment horizontal="center" vertical="center"/>
    </xf>
    <xf numFmtId="0" fontId="22" fillId="0" borderId="63" xfId="12" applyFont="1" applyBorder="1" applyAlignment="1">
      <alignment horizontal="center" vertical="center"/>
    </xf>
    <xf numFmtId="0" fontId="33" fillId="0" borderId="0" xfId="12" applyFont="1" applyBorder="1" applyAlignment="1">
      <alignment horizontal="center" wrapText="1"/>
    </xf>
    <xf numFmtId="0" fontId="21" fillId="0" borderId="0" xfId="12" applyFont="1" applyAlignment="1">
      <alignment horizontal="center" textRotation="90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4" fillId="0" borderId="46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49" fontId="36" fillId="0" borderId="31" xfId="0" applyNumberFormat="1" applyFont="1" applyFill="1" applyBorder="1" applyAlignment="1" applyProtection="1">
      <alignment horizontal="center" vertical="center"/>
    </xf>
    <xf numFmtId="49" fontId="36" fillId="0" borderId="32" xfId="0" applyNumberFormat="1" applyFont="1" applyFill="1" applyBorder="1" applyAlignment="1" applyProtection="1">
      <alignment horizontal="center" vertical="center"/>
    </xf>
    <xf numFmtId="49" fontId="36" fillId="0" borderId="76" xfId="0" applyNumberFormat="1" applyFont="1" applyFill="1" applyBorder="1" applyAlignment="1" applyProtection="1">
      <alignment horizontal="center" vertical="center"/>
    </xf>
    <xf numFmtId="49" fontId="36" fillId="0" borderId="69" xfId="0" applyNumberFormat="1" applyFont="1" applyFill="1" applyBorder="1" applyAlignment="1" applyProtection="1">
      <alignment horizontal="center" vertical="center"/>
    </xf>
    <xf numFmtId="49" fontId="36" fillId="0" borderId="43" xfId="0" applyNumberFormat="1" applyFont="1" applyFill="1" applyBorder="1" applyAlignment="1" applyProtection="1">
      <alignment horizontal="center" vertical="center"/>
    </xf>
    <xf numFmtId="49" fontId="36" fillId="0" borderId="37" xfId="0" applyNumberFormat="1" applyFont="1" applyFill="1" applyBorder="1" applyAlignment="1" applyProtection="1">
      <alignment horizontal="center" vertical="center"/>
    </xf>
    <xf numFmtId="0" fontId="36" fillId="0" borderId="46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left" vertical="center"/>
    </xf>
    <xf numFmtId="0" fontId="36" fillId="0" borderId="31" xfId="0" applyFont="1" applyFill="1" applyBorder="1" applyAlignment="1" applyProtection="1">
      <alignment horizontal="center" vertical="center" wrapText="1"/>
    </xf>
    <xf numFmtId="0" fontId="36" fillId="0" borderId="31" xfId="0" applyFont="1" applyFill="1" applyBorder="1" applyAlignment="1" applyProtection="1">
      <alignment horizontal="center" vertical="center"/>
    </xf>
    <xf numFmtId="0" fontId="36" fillId="0" borderId="69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/>
    </xf>
    <xf numFmtId="0" fontId="36" fillId="0" borderId="76" xfId="0" applyFont="1" applyFill="1" applyBorder="1" applyAlignment="1" applyProtection="1">
      <alignment horizontal="center" vertical="center"/>
    </xf>
    <xf numFmtId="0" fontId="36" fillId="0" borderId="43" xfId="0" applyFont="1" applyFill="1" applyBorder="1" applyAlignment="1" applyProtection="1">
      <alignment horizontal="center" vertical="center"/>
    </xf>
    <xf numFmtId="0" fontId="36" fillId="0" borderId="37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left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4" fillId="0" borderId="76" xfId="0" applyNumberFormat="1" applyFont="1" applyFill="1" applyBorder="1" applyAlignment="1" applyProtection="1">
      <alignment horizontal="center" vertical="center"/>
    </xf>
    <xf numFmtId="49" fontId="4" fillId="0" borderId="69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37" xfId="0" applyNumberFormat="1" applyFont="1" applyFill="1" applyBorder="1" applyAlignment="1" applyProtection="1">
      <alignment horizontal="center" vertical="center"/>
    </xf>
    <xf numFmtId="0" fontId="22" fillId="0" borderId="0" xfId="11" applyFont="1" applyAlignment="1"/>
    <xf numFmtId="0" fontId="21" fillId="0" borderId="0" xfId="11" applyFont="1" applyAlignment="1"/>
    <xf numFmtId="0" fontId="22" fillId="0" borderId="31" xfId="11" applyFont="1" applyBorder="1" applyAlignment="1">
      <alignment horizontal="center" vertical="center" wrapText="1"/>
    </xf>
    <xf numFmtId="0" fontId="21" fillId="0" borderId="32" xfId="11" applyFont="1" applyBorder="1" applyAlignment="1">
      <alignment horizontal="center" vertical="center" wrapText="1"/>
    </xf>
    <xf numFmtId="0" fontId="21" fillId="0" borderId="76" xfId="11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2" fillId="2" borderId="64" xfId="12" applyFont="1" applyFill="1" applyBorder="1" applyAlignment="1">
      <alignment horizontal="center" vertical="center" wrapText="1"/>
    </xf>
    <xf numFmtId="0" fontId="22" fillId="2" borderId="72" xfId="12" applyFont="1" applyFill="1" applyBorder="1" applyAlignment="1">
      <alignment horizontal="center" vertical="center" wrapText="1"/>
    </xf>
    <xf numFmtId="0" fontId="22" fillId="2" borderId="58" xfId="12" applyFont="1" applyFill="1" applyBorder="1" applyAlignment="1">
      <alignment horizontal="center" vertical="center" wrapText="1"/>
    </xf>
    <xf numFmtId="0" fontId="22" fillId="0" borderId="41" xfId="12" applyFont="1" applyBorder="1" applyAlignment="1">
      <alignment horizontal="center" vertical="center" wrapText="1"/>
    </xf>
    <xf numFmtId="0" fontId="22" fillId="0" borderId="63" xfId="12" applyFont="1" applyBorder="1" applyAlignment="1">
      <alignment horizontal="center" vertical="center" wrapText="1"/>
    </xf>
    <xf numFmtId="0" fontId="22" fillId="0" borderId="11" xfId="12" applyFont="1" applyBorder="1" applyAlignment="1">
      <alignment horizontal="center" vertical="center" wrapText="1"/>
    </xf>
    <xf numFmtId="0" fontId="22" fillId="0" borderId="6" xfId="12" applyFont="1" applyBorder="1" applyAlignment="1">
      <alignment horizontal="center" vertical="center" wrapText="1"/>
    </xf>
    <xf numFmtId="0" fontId="33" fillId="0" borderId="0" xfId="7" applyFont="1" applyBorder="1" applyAlignment="1">
      <alignment horizontal="center" vertical="center" wrapText="1"/>
    </xf>
  </cellXfs>
  <cellStyles count="13">
    <cellStyle name="Ezres 2" xfId="1"/>
    <cellStyle name="Hiperhivatkozás" xfId="2"/>
    <cellStyle name="Már látott hiperhivatkozás" xfId="3"/>
    <cellStyle name="Normál" xfId="0" builtinId="0"/>
    <cellStyle name="Normál 2" xfId="4"/>
    <cellStyle name="Normál 2 2" xfId="5"/>
    <cellStyle name="Normál 3" xfId="6"/>
    <cellStyle name="Normál 3 2" xfId="7"/>
    <cellStyle name="Normál 4" xfId="8"/>
    <cellStyle name="Normál 5" xfId="9"/>
    <cellStyle name="Normál_KVRENMUNKA" xfId="10"/>
    <cellStyle name="Normál_létszám tájékoztató" xfId="11"/>
    <cellStyle name="Normál_Munkafüzet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Users\Andrea\Downloads\2014%20k&#246;lts&#233;gvet&#233;si%20mell&#233;kletek%203.sz.m&#243;dosit&#225;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DOCUME~1\str215\LOCALS~1\Temp\2014%20%20&#233;vi%20I%20%20f&#233;l&#233;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01;S%20MELL%20FEBR%2015%20NYOMTATHAT&#2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Users\angyalne_andrea\AppData\Local\Microsoft\Windows\Temporary%20Internet%20Files\Content.Outlook\11YJAEGL\2013\K&#214;LTS&#201;GVET&#201;S\K&#252;ldend&#337;\T&#225;bl&#225;k%202013%2002%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Documents%20and%20Settings\str207\Local%20Settings\Temporary%20Internet%20Files\Content.Outlook\YEXWMP6D\2.sz.m&#243;d%20%20mell.%20m&#243;dos&#237;tp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DOCUME~1\str207\LOCALS~1\Temp\&#201;va-2014%20k&#246;lts&#233;gvet&#233;si%20mell&#233;klete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Documents%20and%20Settings\str207\Local%20Settings\Temporary%20Internet%20Files\Content.Outlook\YEXWMP6D\2014%20k&#246;lts&#233;gvet&#233;s%2001%2026%20&#201;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6.sz.mell"/>
      <sheetName val="7.sz.mell"/>
      <sheetName val="9.sz.mell"/>
      <sheetName val="10.sz.M"/>
      <sheetName val="11. sz. M"/>
      <sheetName val="12.sz. Ml"/>
      <sheetName val="13.2.sz. M"/>
      <sheetName val="13.3.sz. M"/>
      <sheetName val="14. sz. M."/>
      <sheetName val="15. 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6.sz.mell"/>
      <sheetName val="7.sz.mell"/>
      <sheetName val="9.sz.mell"/>
      <sheetName val="10.sz.mell"/>
      <sheetName val="11. sz.mell"/>
      <sheetName val="12.sz.mell"/>
      <sheetName val="13.1.sz.mell"/>
      <sheetName val="13.2.sz.mell"/>
      <sheetName val="13.3.sz.mell"/>
      <sheetName val="14. sz.mell."/>
      <sheetName val="15. sz. mell."/>
    </sheetNames>
    <sheetDataSet>
      <sheetData sheetId="0" refreshError="1">
        <row r="7">
          <cell r="C7">
            <v>967659</v>
          </cell>
        </row>
        <row r="14">
          <cell r="C14">
            <v>346519</v>
          </cell>
        </row>
        <row r="24">
          <cell r="C24">
            <v>130064</v>
          </cell>
          <cell r="D24">
            <v>133117</v>
          </cell>
        </row>
        <row r="25">
          <cell r="C25">
            <v>425653</v>
          </cell>
        </row>
        <row r="34">
          <cell r="C34">
            <v>34000</v>
          </cell>
        </row>
        <row r="35">
          <cell r="C35">
            <v>391653</v>
          </cell>
        </row>
        <row r="36">
          <cell r="C36">
            <v>947000</v>
          </cell>
        </row>
        <row r="38">
          <cell r="C38">
            <v>57000</v>
          </cell>
        </row>
        <row r="39">
          <cell r="C39">
            <v>75000</v>
          </cell>
        </row>
        <row r="66">
          <cell r="C66">
            <v>0</v>
          </cell>
        </row>
        <row r="86">
          <cell r="C86">
            <v>335144</v>
          </cell>
          <cell r="D86">
            <v>587685</v>
          </cell>
        </row>
        <row r="136">
          <cell r="C136">
            <v>154000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1.1.sz.mell."/>
      <sheetName val="1.2.sz.mell. "/>
      <sheetName val="1.3.sz.mell."/>
      <sheetName val="1.4.sz.mell."/>
      <sheetName val="2.1.sz.mell  "/>
      <sheetName val="2.2.sz.mell  "/>
      <sheetName val="3. támogatás"/>
      <sheetName val="4. hitelállomány"/>
      <sheetName val="5. Adósság."/>
      <sheetName val="6. beuházásái kiad."/>
      <sheetName val="7. felújítási kiad."/>
      <sheetName val="8. eu-s proj saját"/>
      <sheetName val="9.önk. bev.kiad."/>
      <sheetName val="10.Hivatal kiad.-bevét."/>
      <sheetName val="11.VESZ"/>
      <sheetName val="12. EGYMI"/>
      <sheetName val="13.1. Óvoda"/>
      <sheetName val="13.2.Bölcsőde"/>
      <sheetName val="13.3.Ipolyi A. Ktár"/>
      <sheetName val="14. Létszám"/>
      <sheetName val="15.Céltartalék"/>
      <sheetName val="16. Tartozás áll."/>
      <sheetName val="1.sz.táj. szociális tábla"/>
      <sheetName val="2. sz.táj.közvetett tám."/>
      <sheetName val="3.sz.táj.előir.üt."/>
      <sheetName val="4.sz. táj.okt.kult.sport."/>
      <sheetName val="5.sz. táj. körny.véd."/>
      <sheetName val="6. sz. táj. Önk.dologi"/>
      <sheetName val="7. sz. táj. Hiv. bér és dologi"/>
      <sheetName val="8. sz. táj.Gördülő tervezés"/>
      <sheetName val="9. sz. táj.Átadott pénzeszközö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1.1.sz.mell"/>
      <sheetName val="1.2.sz.mell"/>
      <sheetName val="1.3.sz.mell"/>
      <sheetName val="1.4.sz.mell"/>
      <sheetName val="2.1.sz.mell  "/>
      <sheetName val="2.2.sz.mell  "/>
      <sheetName val="3.sz.mell"/>
      <sheetName val="4.sz.mell"/>
      <sheetName val="5.sz.mell"/>
      <sheetName val="6.sz.mell"/>
      <sheetName val="7.sz.mell"/>
      <sheetName val="8.sz.mell."/>
      <sheetName val="9.sz.mell"/>
      <sheetName val="10.sz.mell"/>
      <sheetName val="11. sz. mell"/>
      <sheetName val="12.sz. mell"/>
      <sheetName val="13.1. sz. mell"/>
      <sheetName val="13.2.sz. mell"/>
      <sheetName val="13.3.sz. mell"/>
      <sheetName val="14. sz. mell."/>
      <sheetName val="15. sz. mell."/>
      <sheetName val="16.sz.mell"/>
      <sheetName val="1.1-1.2. táj.tábla"/>
      <sheetName val="2. sz. táj. tábla"/>
      <sheetName val="3. sz. táj. tábla"/>
      <sheetName val="4. sz. táj. tábla"/>
      <sheetName val="5. sz. táj. tábla"/>
      <sheetName val="6. sz. táj. tábla"/>
      <sheetName val="7. sz. táj. tábla"/>
      <sheetName val="8. sz táj. 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1.1.sz.mell"/>
      <sheetName val="1.2.sz.mell"/>
      <sheetName val="1.3.sz.mell"/>
      <sheetName val="1.4.sz.mell"/>
      <sheetName val="2.1.sz.mell  "/>
      <sheetName val="2.2.sz.mell  "/>
      <sheetName val="6.sz.mell"/>
      <sheetName val="7.sz.mell"/>
      <sheetName val="9.sz.mell"/>
      <sheetName val="10.sz.mell"/>
      <sheetName val="11. sz. mell"/>
      <sheetName val="12.sz. mell"/>
      <sheetName val="13.1. sz. mell"/>
      <sheetName val="13.2.sz. mell"/>
      <sheetName val="13.3.sz. mell"/>
      <sheetName val="14. sz. mell."/>
      <sheetName val="15. sz. mell."/>
      <sheetName val="16.sz.mell"/>
      <sheetName val="1.1-1.2. táj.tábla"/>
      <sheetName val="2. sz. táj. tábla"/>
      <sheetName val="3. sz. táj. tábla"/>
      <sheetName val="4. sz. táj. tábla"/>
      <sheetName val="5. sz. táj. tábla"/>
      <sheetName val="6. sz. táj. tábla"/>
      <sheetName val="7. sz. táj. tábla"/>
      <sheetName val="8. sz táj. tábla"/>
    </sheetNames>
    <sheetDataSet>
      <sheetData sheetId="0" refreshError="1"/>
      <sheetData sheetId="1">
        <row r="143">
          <cell r="D143">
            <v>98699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3. Támogatás"/>
      <sheetName val="EU-s Fanni"/>
      <sheetName val="EU-s projektek"/>
      <sheetName val="6. beuházásái kiad.2014"/>
      <sheetName val="7. felújítási kiad.2014"/>
      <sheetName val="9.Önkormányzat."/>
      <sheetName val="9.1. sz. Önkormányzat"/>
      <sheetName val="9.3. sz. Hivatal"/>
      <sheetName val="9.3. sz. mell VESZ"/>
      <sheetName val="9.3. sz. mell EGYMI"/>
      <sheetName val="9.3. sz. mell Óvoda"/>
      <sheetName val="9.3. sz. mell Bölcsöde"/>
      <sheetName val="9.3. sz. mell Könyvtár"/>
      <sheetName val="14. Létszám"/>
      <sheetName val="7. sz. táj. Hiv. bér és dologi"/>
      <sheetName val="Hivatal bevétel"/>
      <sheetName val="Szociális"/>
      <sheetName val="Önkorm.bér"/>
    </sheetNames>
    <sheetDataSet>
      <sheetData sheetId="0" refreshError="1">
        <row r="67">
          <cell r="C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76"/>
  <sheetViews>
    <sheetView zoomScaleNormal="100" zoomScaleSheetLayoutView="85" workbookViewId="0">
      <selection activeCell="M138" sqref="M138"/>
    </sheetView>
  </sheetViews>
  <sheetFormatPr defaultRowHeight="12.75"/>
  <cols>
    <col min="1" max="1" width="11.1640625" style="98" customWidth="1"/>
    <col min="2" max="2" width="72" style="99" customWidth="1"/>
    <col min="3" max="3" width="13.33203125" style="100" customWidth="1"/>
    <col min="4" max="4" width="14.1640625" style="2" customWidth="1"/>
    <col min="5" max="5" width="14" style="2" customWidth="1"/>
    <col min="6" max="6" width="13.6640625" style="2" customWidth="1"/>
    <col min="7" max="16384" width="9.33203125" style="2"/>
  </cols>
  <sheetData>
    <row r="1" spans="1:6" ht="42.75" customHeight="1">
      <c r="A1" s="1596" t="s">
        <v>557</v>
      </c>
      <c r="B1" s="1596"/>
      <c r="C1" s="1596"/>
      <c r="D1" s="1596"/>
      <c r="E1" s="1596"/>
    </row>
    <row r="2" spans="1:6" s="5" customFormat="1" ht="15.75" customHeight="1">
      <c r="A2" s="1598" t="s">
        <v>439</v>
      </c>
      <c r="B2" s="1598"/>
      <c r="C2" s="1598"/>
      <c r="D2" s="1598"/>
      <c r="E2" s="1598"/>
    </row>
    <row r="3" spans="1:6" s="5" customFormat="1" ht="15.75" customHeight="1" thickBot="1">
      <c r="A3" s="754"/>
      <c r="B3" s="754"/>
      <c r="C3" s="754"/>
      <c r="D3" s="754"/>
      <c r="F3" s="116" t="s">
        <v>443</v>
      </c>
    </row>
    <row r="4" spans="1:6" ht="16.5" customHeight="1" thickBot="1">
      <c r="A4" s="1599" t="s">
        <v>59</v>
      </c>
      <c r="B4" s="1601" t="s">
        <v>457</v>
      </c>
      <c r="C4" s="1605" t="s">
        <v>245</v>
      </c>
      <c r="D4" s="1606"/>
      <c r="E4" s="1606"/>
      <c r="F4" s="1607"/>
    </row>
    <row r="5" spans="1:6" ht="30.75" customHeight="1" thickBot="1">
      <c r="A5" s="1600"/>
      <c r="B5" s="1602"/>
      <c r="C5" s="839" t="s">
        <v>104</v>
      </c>
      <c r="D5" s="840" t="s">
        <v>558</v>
      </c>
      <c r="E5" s="840" t="s">
        <v>618</v>
      </c>
      <c r="F5" s="840" t="s">
        <v>558</v>
      </c>
    </row>
    <row r="6" spans="1:6" s="3" customFormat="1" ht="12.95" customHeight="1" thickBot="1">
      <c r="A6" s="480">
        <v>1</v>
      </c>
      <c r="B6" s="355">
        <v>2</v>
      </c>
      <c r="C6" s="179">
        <v>3</v>
      </c>
      <c r="D6" s="357">
        <v>4</v>
      </c>
      <c r="E6" s="358">
        <v>5</v>
      </c>
      <c r="F6" s="841">
        <v>6</v>
      </c>
    </row>
    <row r="7" spans="1:6" s="102" customFormat="1" ht="16.5" customHeight="1" thickBot="1">
      <c r="A7" s="101" t="s">
        <v>71</v>
      </c>
      <c r="B7" s="60" t="s">
        <v>253</v>
      </c>
      <c r="C7" s="455">
        <f>+C8+C9+C10+C11+C12+C13</f>
        <v>967659</v>
      </c>
      <c r="D7" s="455">
        <f>+D8+D9+D10+D11+D12+D13</f>
        <v>1196778</v>
      </c>
      <c r="E7" s="482">
        <f>+E8+E9+E10+E11+E12+E13</f>
        <v>4830</v>
      </c>
      <c r="F7" s="482">
        <f>+F8+F9+F10+F11+F12+F13</f>
        <v>1201608</v>
      </c>
    </row>
    <row r="8" spans="1:6" s="6" customFormat="1" ht="16.5" customHeight="1">
      <c r="A8" s="103" t="s">
        <v>18</v>
      </c>
      <c r="B8" s="136" t="s">
        <v>254</v>
      </c>
      <c r="C8" s="481">
        <v>281151</v>
      </c>
      <c r="D8" s="1346">
        <v>563599</v>
      </c>
      <c r="E8" s="1347">
        <v>-210729</v>
      </c>
      <c r="F8" s="1086">
        <f t="shared" ref="F8:F13" si="0">D8+E8</f>
        <v>352870</v>
      </c>
    </row>
    <row r="9" spans="1:6" s="7" customFormat="1" ht="16.5" customHeight="1">
      <c r="A9" s="104" t="s">
        <v>19</v>
      </c>
      <c r="B9" s="137" t="s">
        <v>255</v>
      </c>
      <c r="C9" s="476">
        <v>292230</v>
      </c>
      <c r="D9" s="575">
        <v>293439</v>
      </c>
      <c r="E9" s="843">
        <f>-1937</f>
        <v>-1937</v>
      </c>
      <c r="F9" s="1089">
        <f t="shared" si="0"/>
        <v>291502</v>
      </c>
    </row>
    <row r="10" spans="1:6" s="7" customFormat="1" ht="16.5" customHeight="1">
      <c r="A10" s="104" t="s">
        <v>20</v>
      </c>
      <c r="B10" s="137" t="s">
        <v>100</v>
      </c>
      <c r="C10" s="476">
        <v>369127</v>
      </c>
      <c r="D10" s="575">
        <v>269590</v>
      </c>
      <c r="E10" s="843">
        <f>30450-20027+210729</f>
        <v>221152</v>
      </c>
      <c r="F10" s="1089">
        <f t="shared" si="0"/>
        <v>490742</v>
      </c>
    </row>
    <row r="11" spans="1:6" s="7" customFormat="1" ht="16.5" customHeight="1">
      <c r="A11" s="104" t="s">
        <v>21</v>
      </c>
      <c r="B11" s="137" t="s">
        <v>101</v>
      </c>
      <c r="C11" s="476">
        <v>24902</v>
      </c>
      <c r="D11" s="575">
        <v>24902</v>
      </c>
      <c r="E11" s="843"/>
      <c r="F11" s="1089">
        <f t="shared" si="0"/>
        <v>24902</v>
      </c>
    </row>
    <row r="12" spans="1:6" s="7" customFormat="1" ht="16.5" customHeight="1">
      <c r="A12" s="104" t="s">
        <v>36</v>
      </c>
      <c r="B12" s="137" t="s">
        <v>256</v>
      </c>
      <c r="C12" s="476">
        <v>249</v>
      </c>
      <c r="D12" s="575">
        <v>17162</v>
      </c>
      <c r="E12" s="843">
        <v>-10123</v>
      </c>
      <c r="F12" s="1089">
        <f t="shared" si="0"/>
        <v>7039</v>
      </c>
    </row>
    <row r="13" spans="1:6" s="6" customFormat="1" ht="16.5" customHeight="1" thickBot="1">
      <c r="A13" s="209" t="s">
        <v>22</v>
      </c>
      <c r="B13" s="214" t="s">
        <v>257</v>
      </c>
      <c r="C13" s="577"/>
      <c r="D13" s="578">
        <v>28086</v>
      </c>
      <c r="E13" s="843">
        <f>1888+3542+975-10301+240+10123</f>
        <v>6467</v>
      </c>
      <c r="F13" s="1089">
        <f t="shared" si="0"/>
        <v>34553</v>
      </c>
    </row>
    <row r="14" spans="1:6" s="6" customFormat="1" ht="30.75" customHeight="1" thickBot="1">
      <c r="A14" s="101" t="s">
        <v>72</v>
      </c>
      <c r="B14" s="139" t="s">
        <v>258</v>
      </c>
      <c r="C14" s="455">
        <f>+C15+C16+C17+C18+C19</f>
        <v>346519</v>
      </c>
      <c r="D14" s="455">
        <f>+D15+D16+D17+D18+D19</f>
        <v>617850</v>
      </c>
      <c r="E14" s="845">
        <f>+E15+E16+E17+E18+E19</f>
        <v>163799</v>
      </c>
      <c r="F14" s="482">
        <f>+F15+F16+F17+F18+F19</f>
        <v>781649</v>
      </c>
    </row>
    <row r="15" spans="1:6" s="6" customFormat="1" ht="16.5" customHeight="1">
      <c r="A15" s="110" t="s">
        <v>24</v>
      </c>
      <c r="B15" s="208" t="s">
        <v>210</v>
      </c>
      <c r="C15" s="576"/>
      <c r="D15" s="579"/>
      <c r="E15" s="846"/>
      <c r="F15" s="873"/>
    </row>
    <row r="16" spans="1:6" s="6" customFormat="1" ht="16.5" customHeight="1">
      <c r="A16" s="104" t="s">
        <v>25</v>
      </c>
      <c r="B16" s="137" t="s">
        <v>259</v>
      </c>
      <c r="C16" s="476"/>
      <c r="D16" s="477"/>
      <c r="E16" s="847"/>
      <c r="F16" s="204"/>
    </row>
    <row r="17" spans="1:6" s="6" customFormat="1" ht="16.5" customHeight="1">
      <c r="A17" s="104" t="s">
        <v>26</v>
      </c>
      <c r="B17" s="137" t="s">
        <v>260</v>
      </c>
      <c r="C17" s="476"/>
      <c r="D17" s="477"/>
      <c r="E17" s="847"/>
      <c r="F17" s="204"/>
    </row>
    <row r="18" spans="1:6" s="6" customFormat="1" ht="16.5" customHeight="1">
      <c r="A18" s="104" t="s">
        <v>27</v>
      </c>
      <c r="B18" s="137" t="s">
        <v>261</v>
      </c>
      <c r="C18" s="476"/>
      <c r="D18" s="477"/>
      <c r="E18" s="847"/>
      <c r="F18" s="204"/>
    </row>
    <row r="19" spans="1:6" s="6" customFormat="1" ht="16.5" customHeight="1">
      <c r="A19" s="104" t="s">
        <v>28</v>
      </c>
      <c r="B19" s="137" t="s">
        <v>262</v>
      </c>
      <c r="C19" s="476">
        <f>SUM(C20:C24)</f>
        <v>346519</v>
      </c>
      <c r="D19" s="476">
        <f>SUM(D20:D24)</f>
        <v>617850</v>
      </c>
      <c r="E19" s="848">
        <f>SUM(E20:E24)</f>
        <v>163799</v>
      </c>
      <c r="F19" s="582">
        <f>SUM(F20:F24)</f>
        <v>781649</v>
      </c>
    </row>
    <row r="20" spans="1:6" s="7" customFormat="1" ht="16.5" customHeight="1">
      <c r="A20" s="104" t="s">
        <v>371</v>
      </c>
      <c r="B20" s="140" t="s">
        <v>370</v>
      </c>
      <c r="C20" s="476">
        <v>2590</v>
      </c>
      <c r="D20" s="478">
        <v>2872</v>
      </c>
      <c r="E20" s="849">
        <v>4100</v>
      </c>
      <c r="F20" s="1344">
        <f>D20+E20</f>
        <v>6972</v>
      </c>
    </row>
    <row r="21" spans="1:6" s="7" customFormat="1" ht="16.5" customHeight="1">
      <c r="A21" s="104" t="s">
        <v>372</v>
      </c>
      <c r="B21" s="140" t="s">
        <v>233</v>
      </c>
      <c r="C21" s="476"/>
      <c r="D21" s="478">
        <v>237741</v>
      </c>
      <c r="E21" s="849">
        <f>72606+7368</f>
        <v>79974</v>
      </c>
      <c r="F21" s="1344">
        <f t="shared" ref="F21:F26" si="1">D21+E21</f>
        <v>317715</v>
      </c>
    </row>
    <row r="22" spans="1:6" s="7" customFormat="1" ht="16.5" customHeight="1">
      <c r="A22" s="104" t="s">
        <v>373</v>
      </c>
      <c r="B22" s="140" t="s">
        <v>234</v>
      </c>
      <c r="C22" s="476">
        <v>203590</v>
      </c>
      <c r="D22" s="478">
        <v>203590</v>
      </c>
      <c r="E22" s="849"/>
      <c r="F22" s="1344">
        <f t="shared" si="1"/>
        <v>203590</v>
      </c>
    </row>
    <row r="23" spans="1:6" s="7" customFormat="1" ht="16.5" customHeight="1">
      <c r="A23" s="104" t="s">
        <v>374</v>
      </c>
      <c r="B23" s="140" t="s">
        <v>235</v>
      </c>
      <c r="C23" s="476">
        <v>10275</v>
      </c>
      <c r="D23" s="478">
        <v>40982</v>
      </c>
      <c r="E23" s="843">
        <v>22454</v>
      </c>
      <c r="F23" s="1344">
        <f t="shared" si="1"/>
        <v>63436</v>
      </c>
    </row>
    <row r="24" spans="1:6" s="7" customFormat="1" ht="16.5" customHeight="1" thickBot="1">
      <c r="A24" s="209" t="s">
        <v>375</v>
      </c>
      <c r="B24" s="210" t="s">
        <v>365</v>
      </c>
      <c r="C24" s="577">
        <v>130064</v>
      </c>
      <c r="D24" s="874">
        <v>132665</v>
      </c>
      <c r="E24" s="844">
        <v>57271</v>
      </c>
      <c r="F24" s="1345">
        <f t="shared" si="1"/>
        <v>189936</v>
      </c>
    </row>
    <row r="25" spans="1:6" s="7" customFormat="1" ht="30" customHeight="1" thickBot="1">
      <c r="A25" s="101" t="s">
        <v>73</v>
      </c>
      <c r="B25" s="60" t="s">
        <v>263</v>
      </c>
      <c r="C25" s="455">
        <f>+C26+C27+C28+C29+C30</f>
        <v>425653</v>
      </c>
      <c r="D25" s="455">
        <f>+D26+D27+D28+D29+D30</f>
        <v>565747</v>
      </c>
      <c r="E25" s="455">
        <f>+E26+E27+E28+E29+E30</f>
        <v>-57061</v>
      </c>
      <c r="F25" s="482">
        <f>+F26+F27+F28+F29+F30</f>
        <v>508686</v>
      </c>
    </row>
    <row r="26" spans="1:6" s="7" customFormat="1" ht="16.5" customHeight="1">
      <c r="A26" s="110" t="s">
        <v>5</v>
      </c>
      <c r="B26" s="208" t="s">
        <v>264</v>
      </c>
      <c r="C26" s="576"/>
      <c r="D26" s="581">
        <v>122290</v>
      </c>
      <c r="E26" s="850">
        <v>-240</v>
      </c>
      <c r="F26" s="1342">
        <f t="shared" si="1"/>
        <v>122050</v>
      </c>
    </row>
    <row r="27" spans="1:6" s="6" customFormat="1" ht="16.5" customHeight="1">
      <c r="A27" s="104" t="s">
        <v>6</v>
      </c>
      <c r="B27" s="137" t="s">
        <v>265</v>
      </c>
      <c r="C27" s="476"/>
      <c r="D27" s="477"/>
      <c r="E27" s="847"/>
      <c r="F27" s="216"/>
    </row>
    <row r="28" spans="1:6" s="7" customFormat="1" ht="16.5" customHeight="1">
      <c r="A28" s="104" t="s">
        <v>7</v>
      </c>
      <c r="B28" s="137" t="s">
        <v>266</v>
      </c>
      <c r="C28" s="476"/>
      <c r="D28" s="478"/>
      <c r="E28" s="849"/>
      <c r="F28" s="207"/>
    </row>
    <row r="29" spans="1:6" s="7" customFormat="1" ht="16.5" customHeight="1">
      <c r="A29" s="104" t="s">
        <v>8</v>
      </c>
      <c r="B29" s="137" t="s">
        <v>267</v>
      </c>
      <c r="C29" s="476"/>
      <c r="D29" s="478"/>
      <c r="E29" s="849"/>
      <c r="F29" s="207"/>
    </row>
    <row r="30" spans="1:6" s="7" customFormat="1" ht="16.5" customHeight="1">
      <c r="A30" s="104" t="s">
        <v>39</v>
      </c>
      <c r="B30" s="137" t="s">
        <v>268</v>
      </c>
      <c r="C30" s="476">
        <f>SUM(C31:C35)</f>
        <v>425653</v>
      </c>
      <c r="D30" s="476">
        <f>SUM(D31:D35)</f>
        <v>443457</v>
      </c>
      <c r="E30" s="848">
        <f>SUM(E31:E35)</f>
        <v>-56821</v>
      </c>
      <c r="F30" s="582">
        <f>SUM(F31:F35)</f>
        <v>386636</v>
      </c>
    </row>
    <row r="31" spans="1:6" s="7" customFormat="1" ht="16.5" customHeight="1">
      <c r="A31" s="104" t="s">
        <v>376</v>
      </c>
      <c r="B31" s="140" t="s">
        <v>370</v>
      </c>
      <c r="C31" s="476"/>
      <c r="D31" s="478"/>
      <c r="E31" s="849"/>
      <c r="F31" s="207"/>
    </row>
    <row r="32" spans="1:6" s="7" customFormat="1" ht="16.5" customHeight="1">
      <c r="A32" s="104" t="s">
        <v>377</v>
      </c>
      <c r="B32" s="140" t="s">
        <v>233</v>
      </c>
      <c r="C32" s="476"/>
      <c r="D32" s="478">
        <v>9654</v>
      </c>
      <c r="E32" s="849"/>
      <c r="F32" s="1080">
        <f>D32+E32</f>
        <v>9654</v>
      </c>
    </row>
    <row r="33" spans="1:6" s="7" customFormat="1" ht="16.5" customHeight="1">
      <c r="A33" s="104" t="s">
        <v>378</v>
      </c>
      <c r="B33" s="140" t="s">
        <v>234</v>
      </c>
      <c r="C33" s="476"/>
      <c r="D33" s="575"/>
      <c r="E33" s="843"/>
      <c r="F33" s="1080">
        <f t="shared" ref="F33:F45" si="2">D33+E33</f>
        <v>0</v>
      </c>
    </row>
    <row r="34" spans="1:6" s="7" customFormat="1" ht="16.5" customHeight="1">
      <c r="A34" s="104" t="s">
        <v>379</v>
      </c>
      <c r="B34" s="140" t="s">
        <v>235</v>
      </c>
      <c r="C34" s="476">
        <v>34000</v>
      </c>
      <c r="D34" s="575">
        <v>41522</v>
      </c>
      <c r="E34" s="843">
        <v>450</v>
      </c>
      <c r="F34" s="1080">
        <f t="shared" si="2"/>
        <v>41972</v>
      </c>
    </row>
    <row r="35" spans="1:6" s="7" customFormat="1" ht="16.5" customHeight="1" thickBot="1">
      <c r="A35" s="209" t="s">
        <v>380</v>
      </c>
      <c r="B35" s="210" t="s">
        <v>365</v>
      </c>
      <c r="C35" s="577">
        <v>391653</v>
      </c>
      <c r="D35" s="578">
        <v>392281</v>
      </c>
      <c r="E35" s="844">
        <f>-24219-10462-794-21796</f>
        <v>-57271</v>
      </c>
      <c r="F35" s="1343">
        <f t="shared" si="2"/>
        <v>335010</v>
      </c>
    </row>
    <row r="36" spans="1:6" s="7" customFormat="1" ht="16.5" customHeight="1" thickBot="1">
      <c r="A36" s="101" t="s">
        <v>40</v>
      </c>
      <c r="B36" s="60" t="s">
        <v>269</v>
      </c>
      <c r="C36" s="487">
        <f>+C37+C42+C43+C44</f>
        <v>947000</v>
      </c>
      <c r="D36" s="487">
        <f>+D37+D42+D43+D44</f>
        <v>947000</v>
      </c>
      <c r="E36" s="851">
        <f>+E37+E42+E43+E44</f>
        <v>-93600</v>
      </c>
      <c r="F36" s="488">
        <f>+F37+F42+F43+F44</f>
        <v>853400</v>
      </c>
    </row>
    <row r="37" spans="1:6" s="7" customFormat="1" ht="16.5" customHeight="1">
      <c r="A37" s="110" t="s">
        <v>9</v>
      </c>
      <c r="B37" s="208" t="s">
        <v>588</v>
      </c>
      <c r="C37" s="878">
        <f>SUM(C38:C40)</f>
        <v>882000</v>
      </c>
      <c r="D37" s="878">
        <f>SUM(D38:D40)</f>
        <v>882000</v>
      </c>
      <c r="E37" s="879">
        <f>SUM(E38:E41)</f>
        <v>-98455</v>
      </c>
      <c r="F37" s="1080">
        <f t="shared" si="2"/>
        <v>783545</v>
      </c>
    </row>
    <row r="38" spans="1:6" s="7" customFormat="1" ht="16.5" customHeight="1">
      <c r="A38" s="104" t="s">
        <v>271</v>
      </c>
      <c r="B38" s="142" t="s">
        <v>381</v>
      </c>
      <c r="C38" s="479">
        <v>57000</v>
      </c>
      <c r="D38" s="580">
        <v>57000</v>
      </c>
      <c r="E38" s="852">
        <v>1540</v>
      </c>
      <c r="F38" s="1080">
        <f t="shared" si="2"/>
        <v>58540</v>
      </c>
    </row>
    <row r="39" spans="1:6" s="7" customFormat="1" ht="16.5" customHeight="1">
      <c r="A39" s="104" t="s">
        <v>272</v>
      </c>
      <c r="B39" s="142" t="s">
        <v>382</v>
      </c>
      <c r="C39" s="479">
        <v>75000</v>
      </c>
      <c r="D39" s="580">
        <v>75000</v>
      </c>
      <c r="E39" s="852"/>
      <c r="F39" s="1080">
        <f t="shared" si="2"/>
        <v>75000</v>
      </c>
    </row>
    <row r="40" spans="1:6" s="7" customFormat="1" ht="16.5" customHeight="1">
      <c r="A40" s="104" t="s">
        <v>383</v>
      </c>
      <c r="B40" s="142" t="s">
        <v>384</v>
      </c>
      <c r="C40" s="479">
        <v>750000</v>
      </c>
      <c r="D40" s="580">
        <v>750000</v>
      </c>
      <c r="E40" s="852">
        <v>-100000</v>
      </c>
      <c r="F40" s="1080">
        <f t="shared" si="2"/>
        <v>650000</v>
      </c>
    </row>
    <row r="41" spans="1:6" s="7" customFormat="1" ht="16.5" customHeight="1">
      <c r="A41" s="104" t="s">
        <v>587</v>
      </c>
      <c r="B41" s="142" t="s">
        <v>586</v>
      </c>
      <c r="C41" s="479"/>
      <c r="D41" s="580"/>
      <c r="E41" s="852">
        <v>5</v>
      </c>
      <c r="F41" s="1080">
        <f t="shared" si="2"/>
        <v>5</v>
      </c>
    </row>
    <row r="42" spans="1:6" s="7" customFormat="1" ht="16.5" customHeight="1">
      <c r="A42" s="104" t="s">
        <v>10</v>
      </c>
      <c r="B42" s="137" t="s">
        <v>273</v>
      </c>
      <c r="C42" s="476">
        <v>45000</v>
      </c>
      <c r="D42" s="478">
        <v>45000</v>
      </c>
      <c r="E42" s="849"/>
      <c r="F42" s="1080">
        <f t="shared" si="2"/>
        <v>45000</v>
      </c>
    </row>
    <row r="43" spans="1:6" s="7" customFormat="1" ht="16.5" customHeight="1">
      <c r="A43" s="104" t="s">
        <v>215</v>
      </c>
      <c r="B43" s="137" t="s">
        <v>385</v>
      </c>
      <c r="C43" s="476">
        <v>4000</v>
      </c>
      <c r="D43" s="478">
        <v>4000</v>
      </c>
      <c r="E43" s="849">
        <v>1045</v>
      </c>
      <c r="F43" s="1080">
        <f t="shared" si="2"/>
        <v>5045</v>
      </c>
    </row>
    <row r="44" spans="1:6" s="7" customFormat="1" ht="16.5" customHeight="1" thickBot="1">
      <c r="A44" s="105" t="s">
        <v>238</v>
      </c>
      <c r="B44" s="138" t="s">
        <v>386</v>
      </c>
      <c r="C44" s="483">
        <v>16000</v>
      </c>
      <c r="D44" s="485">
        <v>16000</v>
      </c>
      <c r="E44" s="853">
        <f>3410+400</f>
        <v>3810</v>
      </c>
      <c r="F44" s="1099">
        <f t="shared" si="2"/>
        <v>19810</v>
      </c>
    </row>
    <row r="45" spans="1:6" s="7" customFormat="1" ht="16.5" customHeight="1" thickBot="1">
      <c r="A45" s="101" t="s">
        <v>75</v>
      </c>
      <c r="B45" s="60" t="s">
        <v>274</v>
      </c>
      <c r="C45" s="455">
        <f>C46+C47+C51+C52+C53+C54+C55+C56+C57+C58</f>
        <v>432481</v>
      </c>
      <c r="D45" s="455">
        <f>D46+D47+D51+D52+D53+D54+D55+D56+D57+D58</f>
        <v>436162</v>
      </c>
      <c r="E45" s="845">
        <f>E46+E47+E51+E52+E53+E54+E55+E56+E57+E58</f>
        <v>15429</v>
      </c>
      <c r="F45" s="1348">
        <f t="shared" si="2"/>
        <v>451591</v>
      </c>
    </row>
    <row r="46" spans="1:6" s="7" customFormat="1" ht="16.5" customHeight="1">
      <c r="A46" s="103" t="s">
        <v>11</v>
      </c>
      <c r="B46" s="136" t="s">
        <v>199</v>
      </c>
      <c r="C46" s="481"/>
      <c r="D46" s="486"/>
      <c r="E46" s="855"/>
      <c r="F46" s="213"/>
    </row>
    <row r="47" spans="1:6" s="7" customFormat="1" ht="16.5" customHeight="1">
      <c r="A47" s="104" t="s">
        <v>12</v>
      </c>
      <c r="B47" s="137" t="s">
        <v>200</v>
      </c>
      <c r="C47" s="479">
        <f>SUM(C48:C50)</f>
        <v>160047</v>
      </c>
      <c r="D47" s="479">
        <f>SUM(D48:D50)</f>
        <v>156437</v>
      </c>
      <c r="E47" s="854">
        <f>SUM(E48:E50)</f>
        <v>1059</v>
      </c>
      <c r="F47" s="1080">
        <f t="shared" ref="F47:F59" si="3">D47+E47</f>
        <v>157496</v>
      </c>
    </row>
    <row r="48" spans="1:6" s="7" customFormat="1" ht="16.5" customHeight="1">
      <c r="A48" s="104" t="s">
        <v>387</v>
      </c>
      <c r="B48" s="143" t="s">
        <v>249</v>
      </c>
      <c r="C48" s="583">
        <v>8300</v>
      </c>
      <c r="D48" s="575">
        <v>7900</v>
      </c>
      <c r="E48" s="843">
        <v>1800</v>
      </c>
      <c r="F48" s="1080">
        <f t="shared" si="3"/>
        <v>9700</v>
      </c>
    </row>
    <row r="49" spans="1:6" s="7" customFormat="1" ht="16.5" customHeight="1">
      <c r="A49" s="104" t="s">
        <v>388</v>
      </c>
      <c r="B49" s="143" t="s">
        <v>250</v>
      </c>
      <c r="C49" s="583">
        <v>44976</v>
      </c>
      <c r="D49" s="575">
        <v>41156</v>
      </c>
      <c r="E49" s="843">
        <v>-145</v>
      </c>
      <c r="F49" s="1080">
        <f t="shared" si="3"/>
        <v>41011</v>
      </c>
    </row>
    <row r="50" spans="1:6" s="7" customFormat="1" ht="16.5" customHeight="1">
      <c r="A50" s="104" t="s">
        <v>389</v>
      </c>
      <c r="B50" s="143" t="s">
        <v>251</v>
      </c>
      <c r="C50" s="583">
        <v>106771</v>
      </c>
      <c r="D50" s="575">
        <v>107381</v>
      </c>
      <c r="E50" s="843">
        <v>-596</v>
      </c>
      <c r="F50" s="1080">
        <f t="shared" si="3"/>
        <v>106785</v>
      </c>
    </row>
    <row r="51" spans="1:6" s="7" customFormat="1" ht="16.5" customHeight="1">
      <c r="A51" s="104" t="s">
        <v>13</v>
      </c>
      <c r="B51" s="137" t="s">
        <v>201</v>
      </c>
      <c r="C51" s="475">
        <v>35708</v>
      </c>
      <c r="D51" s="575">
        <v>37954</v>
      </c>
      <c r="E51" s="843">
        <v>624</v>
      </c>
      <c r="F51" s="1080">
        <f t="shared" si="3"/>
        <v>38578</v>
      </c>
    </row>
    <row r="52" spans="1:6" s="7" customFormat="1" ht="16.5" customHeight="1">
      <c r="A52" s="104" t="s">
        <v>42</v>
      </c>
      <c r="B52" s="137" t="s">
        <v>202</v>
      </c>
      <c r="C52" s="475"/>
      <c r="D52" s="575"/>
      <c r="E52" s="843"/>
      <c r="F52" s="1080">
        <f t="shared" si="3"/>
        <v>0</v>
      </c>
    </row>
    <row r="53" spans="1:6" s="7" customFormat="1" ht="16.5" customHeight="1">
      <c r="A53" s="104" t="s">
        <v>43</v>
      </c>
      <c r="B53" s="137" t="s">
        <v>203</v>
      </c>
      <c r="C53" s="475">
        <v>66280</v>
      </c>
      <c r="D53" s="575">
        <v>66280</v>
      </c>
      <c r="E53" s="843">
        <v>-2321</v>
      </c>
      <c r="F53" s="1080">
        <f t="shared" si="3"/>
        <v>63959</v>
      </c>
    </row>
    <row r="54" spans="1:6" s="7" customFormat="1" ht="16.5" customHeight="1">
      <c r="A54" s="104" t="s">
        <v>44</v>
      </c>
      <c r="B54" s="137" t="s">
        <v>275</v>
      </c>
      <c r="C54" s="475">
        <v>113080</v>
      </c>
      <c r="D54" s="575">
        <v>113600</v>
      </c>
      <c r="E54" s="843">
        <v>128</v>
      </c>
      <c r="F54" s="1080">
        <f t="shared" si="3"/>
        <v>113728</v>
      </c>
    </row>
    <row r="55" spans="1:6" s="7" customFormat="1" ht="16.5" customHeight="1">
      <c r="A55" s="104" t="s">
        <v>45</v>
      </c>
      <c r="B55" s="137" t="s">
        <v>276</v>
      </c>
      <c r="C55" s="475">
        <v>24480</v>
      </c>
      <c r="D55" s="575">
        <v>24480</v>
      </c>
      <c r="E55" s="843">
        <v>14830</v>
      </c>
      <c r="F55" s="1080">
        <f t="shared" si="3"/>
        <v>39310</v>
      </c>
    </row>
    <row r="56" spans="1:6" s="7" customFormat="1" ht="16.5" customHeight="1">
      <c r="A56" s="104" t="s">
        <v>46</v>
      </c>
      <c r="B56" s="137" t="s">
        <v>206</v>
      </c>
      <c r="C56" s="475">
        <v>3075</v>
      </c>
      <c r="D56" s="575">
        <v>275</v>
      </c>
      <c r="E56" s="843"/>
      <c r="F56" s="1080">
        <f t="shared" si="3"/>
        <v>275</v>
      </c>
    </row>
    <row r="57" spans="1:6" s="7" customFormat="1" ht="16.5" customHeight="1">
      <c r="A57" s="104" t="s">
        <v>99</v>
      </c>
      <c r="B57" s="137" t="s">
        <v>207</v>
      </c>
      <c r="C57" s="475"/>
      <c r="D57" s="575">
        <v>6620</v>
      </c>
      <c r="E57" s="843"/>
      <c r="F57" s="1080">
        <f t="shared" si="3"/>
        <v>6620</v>
      </c>
    </row>
    <row r="58" spans="1:6" s="7" customFormat="1" ht="16.5" customHeight="1" thickBot="1">
      <c r="A58" s="105" t="s">
        <v>277</v>
      </c>
      <c r="B58" s="138" t="s">
        <v>208</v>
      </c>
      <c r="C58" s="489">
        <v>29811</v>
      </c>
      <c r="D58" s="67">
        <v>30516</v>
      </c>
      <c r="E58" s="722">
        <v>1109</v>
      </c>
      <c r="F58" s="1099">
        <f t="shared" si="3"/>
        <v>31625</v>
      </c>
    </row>
    <row r="59" spans="1:6" s="7" customFormat="1" ht="16.5" customHeight="1" thickBot="1">
      <c r="A59" s="101" t="s">
        <v>76</v>
      </c>
      <c r="B59" s="60" t="s">
        <v>278</v>
      </c>
      <c r="C59" s="455">
        <f>SUM(C60:C63)</f>
        <v>351328</v>
      </c>
      <c r="D59" s="455">
        <f>SUM(D60:D63)</f>
        <v>293131</v>
      </c>
      <c r="E59" s="845">
        <f>SUM(E60:E63)</f>
        <v>-48830</v>
      </c>
      <c r="F59" s="1348">
        <f t="shared" si="3"/>
        <v>244301</v>
      </c>
    </row>
    <row r="60" spans="1:6" s="7" customFormat="1" ht="16.5" customHeight="1">
      <c r="A60" s="110" t="s">
        <v>14</v>
      </c>
      <c r="B60" s="208" t="s">
        <v>217</v>
      </c>
      <c r="C60" s="881"/>
      <c r="D60" s="581"/>
      <c r="E60" s="581"/>
      <c r="F60" s="877"/>
    </row>
    <row r="61" spans="1:6" s="7" customFormat="1" ht="16.5" customHeight="1">
      <c r="A61" s="104" t="s">
        <v>15</v>
      </c>
      <c r="B61" s="137" t="s">
        <v>218</v>
      </c>
      <c r="C61" s="475">
        <v>17495</v>
      </c>
      <c r="D61" s="478">
        <v>17495</v>
      </c>
      <c r="E61" s="855"/>
      <c r="F61" s="1080">
        <f t="shared" ref="F61:F68" si="4">D61+E61</f>
        <v>17495</v>
      </c>
    </row>
    <row r="62" spans="1:6" s="7" customFormat="1" ht="16.5" customHeight="1">
      <c r="A62" s="104" t="s">
        <v>279</v>
      </c>
      <c r="B62" s="137" t="s">
        <v>219</v>
      </c>
      <c r="C62" s="475"/>
      <c r="D62" s="478">
        <v>230</v>
      </c>
      <c r="E62" s="849"/>
      <c r="F62" s="1080">
        <f t="shared" si="4"/>
        <v>230</v>
      </c>
    </row>
    <row r="63" spans="1:6" s="7" customFormat="1" ht="16.5" customHeight="1">
      <c r="A63" s="104" t="s">
        <v>280</v>
      </c>
      <c r="B63" s="144" t="s">
        <v>120</v>
      </c>
      <c r="C63" s="475">
        <f>SUM(C64:C67)</f>
        <v>333833</v>
      </c>
      <c r="D63" s="475">
        <f>SUM(D64:D67)</f>
        <v>275406</v>
      </c>
      <c r="E63" s="475">
        <f>SUM(E64:E67)</f>
        <v>-48830</v>
      </c>
      <c r="F63" s="882">
        <f>SUM(F64:F67)</f>
        <v>226576</v>
      </c>
    </row>
    <row r="64" spans="1:6" s="7" customFormat="1" ht="16.5" customHeight="1">
      <c r="A64" s="105" t="s">
        <v>392</v>
      </c>
      <c r="B64" s="143" t="s">
        <v>390</v>
      </c>
      <c r="C64" s="475">
        <v>181333</v>
      </c>
      <c r="D64" s="478">
        <v>79333</v>
      </c>
      <c r="E64" s="849">
        <v>-34000</v>
      </c>
      <c r="F64" s="1080">
        <f t="shared" si="4"/>
        <v>45333</v>
      </c>
    </row>
    <row r="65" spans="1:6" s="7" customFormat="1" ht="16.5" customHeight="1">
      <c r="A65" s="105" t="s">
        <v>393</v>
      </c>
      <c r="B65" s="143" t="s">
        <v>391</v>
      </c>
      <c r="C65" s="475">
        <v>5000</v>
      </c>
      <c r="D65" s="478">
        <v>5000</v>
      </c>
      <c r="E65" s="849"/>
      <c r="F65" s="1080">
        <f t="shared" si="4"/>
        <v>5000</v>
      </c>
    </row>
    <row r="66" spans="1:6" s="7" customFormat="1" ht="16.5" customHeight="1">
      <c r="A66" s="105" t="s">
        <v>394</v>
      </c>
      <c r="B66" s="332" t="s">
        <v>395</v>
      </c>
      <c r="C66" s="489">
        <v>147500</v>
      </c>
      <c r="D66" s="485">
        <v>147500</v>
      </c>
      <c r="E66" s="853"/>
      <c r="F66" s="1080">
        <f t="shared" si="4"/>
        <v>147500</v>
      </c>
    </row>
    <row r="67" spans="1:6" s="7" customFormat="1" ht="16.5" customHeight="1" thickBot="1">
      <c r="A67" s="209" t="s">
        <v>599</v>
      </c>
      <c r="B67" s="1507" t="s">
        <v>600</v>
      </c>
      <c r="C67" s="584"/>
      <c r="D67" s="874">
        <v>43573</v>
      </c>
      <c r="E67" s="874">
        <v>-14830</v>
      </c>
      <c r="F67" s="1343">
        <f t="shared" si="4"/>
        <v>28743</v>
      </c>
    </row>
    <row r="68" spans="1:6" s="7" customFormat="1" ht="16.5" customHeight="1" thickBot="1">
      <c r="A68" s="101" t="s">
        <v>47</v>
      </c>
      <c r="B68" s="60" t="s">
        <v>281</v>
      </c>
      <c r="C68" s="455">
        <f>SUM(C69:C71)</f>
        <v>0</v>
      </c>
      <c r="D68" s="455">
        <f>SUM(D69:D71)</f>
        <v>250</v>
      </c>
      <c r="E68" s="845">
        <f>SUM(E69:E71)</f>
        <v>0</v>
      </c>
      <c r="F68" s="1348">
        <f t="shared" si="4"/>
        <v>250</v>
      </c>
    </row>
    <row r="69" spans="1:6" s="7" customFormat="1" ht="30.75" customHeight="1">
      <c r="A69" s="103" t="s">
        <v>16</v>
      </c>
      <c r="B69" s="136" t="s">
        <v>282</v>
      </c>
      <c r="C69" s="481"/>
      <c r="D69" s="486"/>
      <c r="E69" s="855"/>
      <c r="F69" s="213"/>
    </row>
    <row r="70" spans="1:6" s="7" customFormat="1" ht="30.75" customHeight="1">
      <c r="A70" s="104" t="s">
        <v>17</v>
      </c>
      <c r="B70" s="137" t="s">
        <v>283</v>
      </c>
      <c r="C70" s="476"/>
      <c r="D70" s="478"/>
      <c r="E70" s="849"/>
      <c r="F70" s="207"/>
    </row>
    <row r="71" spans="1:6" s="7" customFormat="1" ht="16.5" customHeight="1" thickBot="1">
      <c r="A71" s="105" t="s">
        <v>48</v>
      </c>
      <c r="B71" s="138" t="s">
        <v>284</v>
      </c>
      <c r="C71" s="483"/>
      <c r="D71" s="485">
        <v>250</v>
      </c>
      <c r="E71" s="853"/>
      <c r="F71" s="1080">
        <f>D71+E71</f>
        <v>250</v>
      </c>
    </row>
    <row r="72" spans="1:6" s="7" customFormat="1" ht="16.5" customHeight="1" thickBot="1">
      <c r="A72" s="101" t="s">
        <v>78</v>
      </c>
      <c r="B72" s="139" t="s">
        <v>285</v>
      </c>
      <c r="C72" s="455">
        <f>SUM(C73:C75)</f>
        <v>4000</v>
      </c>
      <c r="D72" s="455">
        <f>SUM(D73:D75)</f>
        <v>16442</v>
      </c>
      <c r="E72" s="845">
        <f>SUM(E73:E75)</f>
        <v>2051</v>
      </c>
      <c r="F72" s="482">
        <f>SUM(F73:F75)</f>
        <v>18493</v>
      </c>
    </row>
    <row r="73" spans="1:6" s="7" customFormat="1" ht="28.5" customHeight="1">
      <c r="A73" s="103" t="s">
        <v>49</v>
      </c>
      <c r="B73" s="136" t="s">
        <v>286</v>
      </c>
      <c r="C73" s="490"/>
      <c r="D73" s="486"/>
      <c r="E73" s="855"/>
      <c r="F73" s="207"/>
    </row>
    <row r="74" spans="1:6" s="7" customFormat="1" ht="29.25" customHeight="1">
      <c r="A74" s="104" t="s">
        <v>50</v>
      </c>
      <c r="B74" s="137" t="s">
        <v>408</v>
      </c>
      <c r="C74" s="475">
        <v>4000</v>
      </c>
      <c r="D74" s="478">
        <v>4000</v>
      </c>
      <c r="E74" s="849"/>
      <c r="F74" s="1080">
        <f>D74+E74</f>
        <v>4000</v>
      </c>
    </row>
    <row r="75" spans="1:6" s="7" customFormat="1" ht="16.5" customHeight="1" thickBot="1">
      <c r="A75" s="105" t="s">
        <v>107</v>
      </c>
      <c r="B75" s="138" t="s">
        <v>287</v>
      </c>
      <c r="C75" s="489"/>
      <c r="D75" s="485">
        <v>12442</v>
      </c>
      <c r="E75" s="853">
        <v>2051</v>
      </c>
      <c r="F75" s="1080">
        <f>D75+E75</f>
        <v>14493</v>
      </c>
    </row>
    <row r="76" spans="1:6" s="7" customFormat="1" ht="16.5" customHeight="1" thickBot="1">
      <c r="A76" s="101" t="s">
        <v>79</v>
      </c>
      <c r="B76" s="60" t="s">
        <v>288</v>
      </c>
      <c r="C76" s="487">
        <f>+C7+C14+C25+C36+C45+C59+C68+C72</f>
        <v>3474640</v>
      </c>
      <c r="D76" s="487">
        <f>+D7+D14+D25+D36+D45+D59+D68+D72</f>
        <v>4073360</v>
      </c>
      <c r="E76" s="851">
        <f>+E7+E14+E25+E36+E45+E59+E68+E72</f>
        <v>-13382</v>
      </c>
      <c r="F76" s="488">
        <f>+F7+F14+F25+F36+F45+F59+F68+F72</f>
        <v>4059978</v>
      </c>
    </row>
    <row r="77" spans="1:6" s="7" customFormat="1" ht="16.5" customHeight="1" thickBot="1">
      <c r="A77" s="57" t="s">
        <v>289</v>
      </c>
      <c r="B77" s="139" t="s">
        <v>290</v>
      </c>
      <c r="C77" s="455">
        <f>SUM(C78:C80)</f>
        <v>0</v>
      </c>
      <c r="D77" s="455">
        <f>SUM(D78:D80)</f>
        <v>0</v>
      </c>
      <c r="E77" s="845">
        <f>SUM(E78:E80)</f>
        <v>0</v>
      </c>
      <c r="F77" s="482">
        <f>SUM(F78:F80)</f>
        <v>0</v>
      </c>
    </row>
    <row r="78" spans="1:6" s="7" customFormat="1" ht="16.5" customHeight="1">
      <c r="A78" s="103" t="s">
        <v>291</v>
      </c>
      <c r="B78" s="136" t="s">
        <v>292</v>
      </c>
      <c r="C78" s="490"/>
      <c r="D78" s="486"/>
      <c r="E78" s="855"/>
      <c r="F78" s="207"/>
    </row>
    <row r="79" spans="1:6" s="7" customFormat="1" ht="16.5" customHeight="1">
      <c r="A79" s="104" t="s">
        <v>293</v>
      </c>
      <c r="B79" s="137" t="s">
        <v>294</v>
      </c>
      <c r="C79" s="475"/>
      <c r="D79" s="478"/>
      <c r="E79" s="849"/>
      <c r="F79" s="207"/>
    </row>
    <row r="80" spans="1:6" s="7" customFormat="1" ht="16.5" customHeight="1" thickBot="1">
      <c r="A80" s="105" t="s">
        <v>295</v>
      </c>
      <c r="B80" s="145" t="s">
        <v>396</v>
      </c>
      <c r="C80" s="489"/>
      <c r="D80" s="485"/>
      <c r="E80" s="853"/>
      <c r="F80" s="207"/>
    </row>
    <row r="81" spans="1:6" s="7" customFormat="1" ht="16.5" customHeight="1" thickBot="1">
      <c r="A81" s="57" t="s">
        <v>296</v>
      </c>
      <c r="B81" s="139" t="s">
        <v>297</v>
      </c>
      <c r="C81" s="455">
        <f>SUM(C82:C85)</f>
        <v>0</v>
      </c>
      <c r="D81" s="455">
        <f>SUM(D82:D85)</f>
        <v>908981</v>
      </c>
      <c r="E81" s="845">
        <f>SUM(E82:E85)</f>
        <v>202718</v>
      </c>
      <c r="F81" s="482">
        <f>SUM(F82:F85)</f>
        <v>1111699</v>
      </c>
    </row>
    <row r="82" spans="1:6" s="7" customFormat="1" ht="16.5" customHeight="1">
      <c r="A82" s="103" t="s">
        <v>37</v>
      </c>
      <c r="B82" s="136" t="s">
        <v>298</v>
      </c>
      <c r="C82" s="490"/>
      <c r="D82" s="486">
        <v>908981</v>
      </c>
      <c r="E82" s="855">
        <v>202718</v>
      </c>
      <c r="F82" s="1080">
        <f>D82+E82</f>
        <v>1111699</v>
      </c>
    </row>
    <row r="83" spans="1:6" s="7" customFormat="1" ht="16.5" customHeight="1">
      <c r="A83" s="104" t="s">
        <v>38</v>
      </c>
      <c r="B83" s="137" t="s">
        <v>299</v>
      </c>
      <c r="C83" s="475"/>
      <c r="D83" s="478"/>
      <c r="E83" s="849"/>
      <c r="F83" s="207"/>
    </row>
    <row r="84" spans="1:6" s="7" customFormat="1" ht="16.5" customHeight="1">
      <c r="A84" s="104" t="s">
        <v>300</v>
      </c>
      <c r="B84" s="137" t="s">
        <v>301</v>
      </c>
      <c r="C84" s="475"/>
      <c r="D84" s="478"/>
      <c r="E84" s="849"/>
      <c r="F84" s="207"/>
    </row>
    <row r="85" spans="1:6" s="7" customFormat="1" ht="16.5" customHeight="1" thickBot="1">
      <c r="A85" s="105" t="s">
        <v>302</v>
      </c>
      <c r="B85" s="138" t="s">
        <v>303</v>
      </c>
      <c r="C85" s="489"/>
      <c r="D85" s="485"/>
      <c r="E85" s="853"/>
      <c r="F85" s="207"/>
    </row>
    <row r="86" spans="1:6" s="7" customFormat="1" ht="16.5" customHeight="1" thickBot="1">
      <c r="A86" s="57" t="s">
        <v>304</v>
      </c>
      <c r="B86" s="139" t="s">
        <v>305</v>
      </c>
      <c r="C86" s="455">
        <f>SUM(C87+C90)</f>
        <v>696694</v>
      </c>
      <c r="D86" s="455">
        <f>SUM(D87+D90)</f>
        <v>1147795</v>
      </c>
      <c r="E86" s="845">
        <f>SUM(E87+E90)</f>
        <v>0</v>
      </c>
      <c r="F86" s="482">
        <f>SUM(F87+F90)</f>
        <v>1147795</v>
      </c>
    </row>
    <row r="87" spans="1:6" s="7" customFormat="1" ht="16.5" customHeight="1">
      <c r="A87" s="103" t="s">
        <v>51</v>
      </c>
      <c r="B87" s="136" t="s">
        <v>306</v>
      </c>
      <c r="C87" s="490">
        <f>SUM(C88:C89)</f>
        <v>696694</v>
      </c>
      <c r="D87" s="490">
        <f>SUM(D88:D89)</f>
        <v>1147795</v>
      </c>
      <c r="E87" s="857">
        <f>SUM(E88:E89)</f>
        <v>0</v>
      </c>
      <c r="F87" s="1080">
        <f>D87+E87</f>
        <v>1147795</v>
      </c>
    </row>
    <row r="88" spans="1:6" s="7" customFormat="1" ht="16.5" customHeight="1">
      <c r="A88" s="104" t="s">
        <v>399</v>
      </c>
      <c r="B88" s="146" t="s">
        <v>397</v>
      </c>
      <c r="C88" s="479">
        <v>335144</v>
      </c>
      <c r="D88" s="580">
        <v>587685</v>
      </c>
      <c r="E88" s="852"/>
      <c r="F88" s="1080">
        <f>D88+E88</f>
        <v>587685</v>
      </c>
    </row>
    <row r="89" spans="1:6" s="7" customFormat="1" ht="16.5" customHeight="1">
      <c r="A89" s="111" t="s">
        <v>400</v>
      </c>
      <c r="B89" s="146" t="s">
        <v>398</v>
      </c>
      <c r="C89" s="479">
        <v>361550</v>
      </c>
      <c r="D89" s="580">
        <v>560110</v>
      </c>
      <c r="E89" s="852"/>
      <c r="F89" s="1080">
        <f>D89+E89</f>
        <v>560110</v>
      </c>
    </row>
    <row r="90" spans="1:6" s="7" customFormat="1" ht="16.5" customHeight="1" thickBot="1">
      <c r="A90" s="105" t="s">
        <v>52</v>
      </c>
      <c r="B90" s="138" t="s">
        <v>307</v>
      </c>
      <c r="C90" s="489"/>
      <c r="D90" s="485"/>
      <c r="E90" s="853"/>
      <c r="F90" s="207"/>
    </row>
    <row r="91" spans="1:6" s="6" customFormat="1" ht="16.5" customHeight="1" thickBot="1">
      <c r="A91" s="57" t="s">
        <v>308</v>
      </c>
      <c r="B91" s="139" t="s">
        <v>309</v>
      </c>
      <c r="C91" s="455">
        <f>SUM(C92:C94)</f>
        <v>0</v>
      </c>
      <c r="D91" s="455">
        <f>SUM(D92:D94)</f>
        <v>0</v>
      </c>
      <c r="E91" s="845">
        <f>SUM(E92:E94)</f>
        <v>0</v>
      </c>
      <c r="F91" s="482">
        <f>SUM(F92:F94)</f>
        <v>0</v>
      </c>
    </row>
    <row r="92" spans="1:6" s="7" customFormat="1" ht="16.5" customHeight="1">
      <c r="A92" s="103" t="s">
        <v>310</v>
      </c>
      <c r="B92" s="136" t="s">
        <v>311</v>
      </c>
      <c r="C92" s="490"/>
      <c r="D92" s="486"/>
      <c r="E92" s="855"/>
      <c r="F92" s="207"/>
    </row>
    <row r="93" spans="1:6" s="7" customFormat="1" ht="16.5" customHeight="1">
      <c r="A93" s="104" t="s">
        <v>312</v>
      </c>
      <c r="B93" s="137" t="s">
        <v>313</v>
      </c>
      <c r="C93" s="475"/>
      <c r="D93" s="478"/>
      <c r="E93" s="849"/>
      <c r="F93" s="207"/>
    </row>
    <row r="94" spans="1:6" s="7" customFormat="1" ht="16.5" customHeight="1" thickBot="1">
      <c r="A94" s="105" t="s">
        <v>314</v>
      </c>
      <c r="B94" s="138" t="s">
        <v>315</v>
      </c>
      <c r="C94" s="489"/>
      <c r="D94" s="485"/>
      <c r="E94" s="853"/>
      <c r="F94" s="207"/>
    </row>
    <row r="95" spans="1:6" s="7" customFormat="1" ht="16.5" customHeight="1" thickBot="1">
      <c r="A95" s="57" t="s">
        <v>316</v>
      </c>
      <c r="B95" s="139" t="s">
        <v>317</v>
      </c>
      <c r="C95" s="455">
        <f>SUM(C96:C99)</f>
        <v>0</v>
      </c>
      <c r="D95" s="455">
        <f>SUM(D96:D99)</f>
        <v>0</v>
      </c>
      <c r="E95" s="845">
        <f>SUM(E96:E99)</f>
        <v>0</v>
      </c>
      <c r="F95" s="482">
        <f>SUM(F96:F99)</f>
        <v>0</v>
      </c>
    </row>
    <row r="96" spans="1:6" s="7" customFormat="1" ht="16.5" customHeight="1">
      <c r="A96" s="106" t="s">
        <v>318</v>
      </c>
      <c r="B96" s="136" t="s">
        <v>319</v>
      </c>
      <c r="C96" s="490"/>
      <c r="D96" s="486"/>
      <c r="E96" s="855"/>
      <c r="F96" s="207"/>
    </row>
    <row r="97" spans="1:6" s="7" customFormat="1" ht="16.5" customHeight="1">
      <c r="A97" s="107" t="s">
        <v>320</v>
      </c>
      <c r="B97" s="137" t="s">
        <v>321</v>
      </c>
      <c r="C97" s="475"/>
      <c r="D97" s="478"/>
      <c r="E97" s="849"/>
      <c r="F97" s="207"/>
    </row>
    <row r="98" spans="1:6" s="7" customFormat="1" ht="16.5" customHeight="1">
      <c r="A98" s="107" t="s">
        <v>322</v>
      </c>
      <c r="B98" s="137" t="s">
        <v>323</v>
      </c>
      <c r="C98" s="475"/>
      <c r="D98" s="478"/>
      <c r="E98" s="849"/>
      <c r="F98" s="207"/>
    </row>
    <row r="99" spans="1:6" s="6" customFormat="1" ht="16.5" customHeight="1" thickBot="1">
      <c r="A99" s="108" t="s">
        <v>324</v>
      </c>
      <c r="B99" s="138" t="s">
        <v>325</v>
      </c>
      <c r="C99" s="489"/>
      <c r="D99" s="484"/>
      <c r="E99" s="858"/>
      <c r="F99" s="218"/>
    </row>
    <row r="100" spans="1:6" s="6" customFormat="1" ht="16.5" customHeight="1" thickBot="1">
      <c r="A100" s="57" t="s">
        <v>326</v>
      </c>
      <c r="B100" s="139" t="s">
        <v>327</v>
      </c>
      <c r="C100" s="491"/>
      <c r="D100" s="492"/>
      <c r="E100" s="859"/>
      <c r="F100" s="201"/>
    </row>
    <row r="101" spans="1:6" s="6" customFormat="1" ht="16.5" customHeight="1" thickBot="1">
      <c r="A101" s="57" t="s">
        <v>328</v>
      </c>
      <c r="B101" s="147" t="s">
        <v>329</v>
      </c>
      <c r="C101" s="487">
        <f>+C77+C81+C86+C91+C95+C100</f>
        <v>696694</v>
      </c>
      <c r="D101" s="487">
        <f>+D77+D81+D86+D91+D95+D100</f>
        <v>2056776</v>
      </c>
      <c r="E101" s="851">
        <f>+E77+E81+E86+E91+E95+E100</f>
        <v>202718</v>
      </c>
      <c r="F101" s="488">
        <f>+F77+F81+F86+F91+F95+F100</f>
        <v>2259494</v>
      </c>
    </row>
    <row r="102" spans="1:6" s="6" customFormat="1" ht="16.5" customHeight="1" thickBot="1">
      <c r="A102" s="57" t="s">
        <v>330</v>
      </c>
      <c r="B102" s="147" t="s">
        <v>331</v>
      </c>
      <c r="C102" s="487">
        <f>+C76+C101</f>
        <v>4171334</v>
      </c>
      <c r="D102" s="487">
        <f>+D76+D101</f>
        <v>6130136</v>
      </c>
      <c r="E102" s="851">
        <f>+E76+E101</f>
        <v>189336</v>
      </c>
      <c r="F102" s="488">
        <f>+F76+F101</f>
        <v>6319472</v>
      </c>
    </row>
    <row r="103" spans="1:6" s="6" customFormat="1" ht="16.5" customHeight="1" thickBot="1">
      <c r="A103" s="335"/>
      <c r="B103" s="336"/>
      <c r="C103" s="337"/>
      <c r="D103" s="337"/>
      <c r="E103" s="337"/>
      <c r="F103" s="887"/>
    </row>
    <row r="104" spans="1:6" s="3" customFormat="1" ht="32.25" customHeight="1" thickBot="1">
      <c r="A104" s="334"/>
      <c r="B104" s="338" t="s">
        <v>2</v>
      </c>
      <c r="C104" s="202" t="s">
        <v>104</v>
      </c>
      <c r="D104" s="203" t="s">
        <v>558</v>
      </c>
      <c r="E104" s="203" t="s">
        <v>618</v>
      </c>
      <c r="F104" s="203" t="s">
        <v>558</v>
      </c>
    </row>
    <row r="105" spans="1:6" s="6" customFormat="1" ht="16.5" customHeight="1" thickBot="1">
      <c r="A105" s="101" t="s">
        <v>71</v>
      </c>
      <c r="B105" s="149" t="s">
        <v>364</v>
      </c>
      <c r="C105" s="330">
        <f>SUM(C106:C110)</f>
        <v>2591410</v>
      </c>
      <c r="D105" s="330">
        <f>SUM(D106:D110)</f>
        <v>3259122</v>
      </c>
      <c r="E105" s="330">
        <f>SUM(E106:E110)</f>
        <v>188593</v>
      </c>
      <c r="F105" s="1432">
        <f>SUM(F106:F110)</f>
        <v>3447715</v>
      </c>
    </row>
    <row r="106" spans="1:6" s="26" customFormat="1" ht="16.5" customHeight="1">
      <c r="A106" s="103" t="s">
        <v>18</v>
      </c>
      <c r="B106" s="159" t="s">
        <v>98</v>
      </c>
      <c r="C106" s="329">
        <v>797993</v>
      </c>
      <c r="D106" s="471">
        <v>1067193</v>
      </c>
      <c r="E106" s="861">
        <f>71038-92</f>
        <v>70946</v>
      </c>
      <c r="F106" s="1090">
        <f t="shared" ref="F106:F141" si="5">D106+E106</f>
        <v>1138139</v>
      </c>
    </row>
    <row r="107" spans="1:6" s="26" customFormat="1" ht="16.5" customHeight="1">
      <c r="A107" s="104" t="s">
        <v>19</v>
      </c>
      <c r="B107" s="151" t="s">
        <v>53</v>
      </c>
      <c r="C107" s="186">
        <v>226363</v>
      </c>
      <c r="D107" s="339">
        <v>262574</v>
      </c>
      <c r="E107" s="862">
        <v>10199</v>
      </c>
      <c r="F107" s="1080">
        <f t="shared" si="5"/>
        <v>272773</v>
      </c>
    </row>
    <row r="108" spans="1:6" s="26" customFormat="1" ht="16.5" customHeight="1">
      <c r="A108" s="104" t="s">
        <v>20</v>
      </c>
      <c r="B108" s="151" t="s">
        <v>35</v>
      </c>
      <c r="C108" s="186">
        <v>1206164</v>
      </c>
      <c r="D108" s="339">
        <v>1265916</v>
      </c>
      <c r="E108" s="862">
        <f>75405+4000-52</f>
        <v>79353</v>
      </c>
      <c r="F108" s="1080">
        <f t="shared" si="5"/>
        <v>1345269</v>
      </c>
    </row>
    <row r="109" spans="1:6" s="26" customFormat="1" ht="16.5" customHeight="1">
      <c r="A109" s="104" t="s">
        <v>21</v>
      </c>
      <c r="B109" s="152" t="s">
        <v>54</v>
      </c>
      <c r="C109" s="186">
        <v>103250</v>
      </c>
      <c r="D109" s="339">
        <v>324750</v>
      </c>
      <c r="E109" s="862">
        <f>40211+52-1349</f>
        <v>38914</v>
      </c>
      <c r="F109" s="1080">
        <f t="shared" si="5"/>
        <v>363664</v>
      </c>
    </row>
    <row r="110" spans="1:6" s="26" customFormat="1" ht="16.5" customHeight="1">
      <c r="A110" s="104" t="s">
        <v>29</v>
      </c>
      <c r="B110" s="35" t="s">
        <v>55</v>
      </c>
      <c r="C110" s="186">
        <f>SUM(C111:C118)</f>
        <v>257640</v>
      </c>
      <c r="D110" s="495">
        <f>SUM(D111:D118)</f>
        <v>338689</v>
      </c>
      <c r="E110" s="863">
        <f>SUM(E111:E118)</f>
        <v>-10819</v>
      </c>
      <c r="F110" s="1080">
        <f t="shared" si="5"/>
        <v>327870</v>
      </c>
    </row>
    <row r="111" spans="1:6" s="26" customFormat="1" ht="16.5" customHeight="1">
      <c r="A111" s="104" t="s">
        <v>410</v>
      </c>
      <c r="B111" s="153" t="s">
        <v>409</v>
      </c>
      <c r="C111" s="495"/>
      <c r="D111" s="339">
        <v>63257</v>
      </c>
      <c r="E111" s="862"/>
      <c r="F111" s="1080">
        <f t="shared" si="5"/>
        <v>63257</v>
      </c>
    </row>
    <row r="112" spans="1:6" s="26" customFormat="1" ht="28.5" customHeight="1">
      <c r="A112" s="104" t="s">
        <v>411</v>
      </c>
      <c r="B112" s="154" t="s">
        <v>332</v>
      </c>
      <c r="C112" s="495"/>
      <c r="D112" s="339"/>
      <c r="E112" s="862"/>
      <c r="F112" s="1080">
        <f t="shared" si="5"/>
        <v>0</v>
      </c>
    </row>
    <row r="113" spans="1:6" s="26" customFormat="1" ht="27.75" customHeight="1">
      <c r="A113" s="104" t="s">
        <v>412</v>
      </c>
      <c r="B113" s="154" t="s">
        <v>333</v>
      </c>
      <c r="C113" s="495"/>
      <c r="D113" s="339"/>
      <c r="E113" s="862"/>
      <c r="F113" s="1080">
        <f t="shared" si="5"/>
        <v>0</v>
      </c>
    </row>
    <row r="114" spans="1:6" s="26" customFormat="1" ht="16.5" customHeight="1">
      <c r="A114" s="104" t="s">
        <v>413</v>
      </c>
      <c r="B114" s="155" t="s">
        <v>334</v>
      </c>
      <c r="C114" s="495">
        <v>221840</v>
      </c>
      <c r="D114" s="339">
        <v>237747</v>
      </c>
      <c r="E114" s="862">
        <f>-11966+40</f>
        <v>-11926</v>
      </c>
      <c r="F114" s="1080">
        <f t="shared" si="5"/>
        <v>225821</v>
      </c>
    </row>
    <row r="115" spans="1:6" s="26" customFormat="1" ht="30.75" customHeight="1">
      <c r="A115" s="104" t="s">
        <v>414</v>
      </c>
      <c r="B115" s="154" t="s">
        <v>335</v>
      </c>
      <c r="C115" s="495"/>
      <c r="D115" s="339"/>
      <c r="E115" s="862"/>
      <c r="F115" s="1080">
        <f t="shared" si="5"/>
        <v>0</v>
      </c>
    </row>
    <row r="116" spans="1:6" s="26" customFormat="1" ht="16.5" customHeight="1">
      <c r="A116" s="104" t="s">
        <v>415</v>
      </c>
      <c r="B116" s="156" t="s">
        <v>336</v>
      </c>
      <c r="C116" s="495"/>
      <c r="D116" s="339"/>
      <c r="E116" s="862"/>
      <c r="F116" s="1080">
        <f t="shared" si="5"/>
        <v>0</v>
      </c>
    </row>
    <row r="117" spans="1:6" s="26" customFormat="1" ht="16.5" customHeight="1">
      <c r="A117" s="104" t="s">
        <v>416</v>
      </c>
      <c r="B117" s="156" t="s">
        <v>337</v>
      </c>
      <c r="C117" s="495"/>
      <c r="D117" s="339"/>
      <c r="E117" s="862"/>
      <c r="F117" s="1080">
        <f t="shared" si="5"/>
        <v>0</v>
      </c>
    </row>
    <row r="118" spans="1:6" s="26" customFormat="1" ht="16.5" customHeight="1" thickBot="1">
      <c r="A118" s="105" t="s">
        <v>417</v>
      </c>
      <c r="B118" s="156" t="s">
        <v>338</v>
      </c>
      <c r="C118" s="585">
        <v>35800</v>
      </c>
      <c r="D118" s="568">
        <v>37685</v>
      </c>
      <c r="E118" s="864">
        <f>1055+52</f>
        <v>1107</v>
      </c>
      <c r="F118" s="1099">
        <f t="shared" si="5"/>
        <v>38792</v>
      </c>
    </row>
    <row r="119" spans="1:6" s="26" customFormat="1" ht="16.5" customHeight="1" thickBot="1">
      <c r="A119" s="101" t="s">
        <v>72</v>
      </c>
      <c r="B119" s="149" t="s">
        <v>418</v>
      </c>
      <c r="C119" s="330">
        <f>SUM(C120+C126+C127)</f>
        <v>1259099</v>
      </c>
      <c r="D119" s="330">
        <f>SUM(D120+D126+D127)</f>
        <v>1438761</v>
      </c>
      <c r="E119" s="860">
        <f>SUM(E120+E126+E127)</f>
        <v>-81725</v>
      </c>
      <c r="F119" s="1348">
        <f t="shared" si="5"/>
        <v>1357036</v>
      </c>
    </row>
    <row r="120" spans="1:6" s="26" customFormat="1" ht="16.5" customHeight="1" thickBot="1">
      <c r="A120" s="1526" t="s">
        <v>24</v>
      </c>
      <c r="B120" s="150" t="s">
        <v>108</v>
      </c>
      <c r="C120" s="1527">
        <f>SUM(C121:C125)</f>
        <v>1086539</v>
      </c>
      <c r="D120" s="1527">
        <f>SUM(D121:D125)</f>
        <v>1163507</v>
      </c>
      <c r="E120" s="1528">
        <f>SUM(E121:E125)</f>
        <v>-83225</v>
      </c>
      <c r="F120" s="1468">
        <f t="shared" si="5"/>
        <v>1080282</v>
      </c>
    </row>
    <row r="121" spans="1:6" s="26" customFormat="1" ht="16.5" customHeight="1">
      <c r="A121" s="117" t="s">
        <v>401</v>
      </c>
      <c r="B121" s="328" t="s">
        <v>406</v>
      </c>
      <c r="C121" s="339">
        <v>551859</v>
      </c>
      <c r="D121" s="339">
        <v>564026</v>
      </c>
      <c r="E121" s="1528">
        <f>-29118+6877</f>
        <v>-22241</v>
      </c>
      <c r="F121" s="1080">
        <f t="shared" si="5"/>
        <v>541785</v>
      </c>
    </row>
    <row r="122" spans="1:6" s="26" customFormat="1" ht="34.5" customHeight="1">
      <c r="A122" s="117" t="s">
        <v>402</v>
      </c>
      <c r="B122" s="328" t="s">
        <v>110</v>
      </c>
      <c r="C122" s="51">
        <v>391653</v>
      </c>
      <c r="D122" s="339">
        <v>392281</v>
      </c>
      <c r="E122" s="862">
        <v>-57271</v>
      </c>
      <c r="F122" s="1080">
        <f t="shared" si="5"/>
        <v>335010</v>
      </c>
    </row>
    <row r="123" spans="1:6" s="26" customFormat="1" ht="34.5" customHeight="1">
      <c r="A123" s="117" t="s">
        <v>403</v>
      </c>
      <c r="B123" s="328" t="s">
        <v>118</v>
      </c>
      <c r="C123" s="339">
        <v>94827</v>
      </c>
      <c r="D123" s="339">
        <v>145528</v>
      </c>
      <c r="E123" s="862">
        <v>-4135</v>
      </c>
      <c r="F123" s="1080">
        <f t="shared" si="5"/>
        <v>141393</v>
      </c>
    </row>
    <row r="124" spans="1:6" s="26" customFormat="1" ht="34.5" customHeight="1">
      <c r="A124" s="117" t="s">
        <v>404</v>
      </c>
      <c r="B124" s="328" t="s">
        <v>116</v>
      </c>
      <c r="C124" s="339">
        <v>34000</v>
      </c>
      <c r="D124" s="339">
        <v>46002</v>
      </c>
      <c r="E124" s="862">
        <v>450</v>
      </c>
      <c r="F124" s="1080">
        <f t="shared" si="5"/>
        <v>46452</v>
      </c>
    </row>
    <row r="125" spans="1:6" s="26" customFormat="1" ht="43.5" customHeight="1">
      <c r="A125" s="117" t="s">
        <v>405</v>
      </c>
      <c r="B125" s="328" t="s">
        <v>124</v>
      </c>
      <c r="C125" s="339">
        <v>14200</v>
      </c>
      <c r="D125" s="339">
        <v>15670</v>
      </c>
      <c r="E125" s="865">
        <v>-28</v>
      </c>
      <c r="F125" s="1080">
        <f t="shared" si="5"/>
        <v>15642</v>
      </c>
    </row>
    <row r="126" spans="1:6" s="26" customFormat="1" ht="16.5" customHeight="1">
      <c r="A126" s="103" t="s">
        <v>25</v>
      </c>
      <c r="B126" s="157" t="s">
        <v>56</v>
      </c>
      <c r="C126" s="339">
        <v>169060</v>
      </c>
      <c r="D126" s="339">
        <v>258002</v>
      </c>
      <c r="E126" s="862"/>
      <c r="F126" s="1080">
        <f t="shared" si="5"/>
        <v>258002</v>
      </c>
    </row>
    <row r="127" spans="1:6" s="26" customFormat="1" ht="16.5" customHeight="1">
      <c r="A127" s="103" t="s">
        <v>26</v>
      </c>
      <c r="B127" s="158" t="s">
        <v>109</v>
      </c>
      <c r="C127" s="339">
        <f>SUM(C128:C133)</f>
        <v>3500</v>
      </c>
      <c r="D127" s="339">
        <f>SUM(D128:D133)</f>
        <v>17252</v>
      </c>
      <c r="E127" s="339">
        <f>SUM(E128:E133)</f>
        <v>1500</v>
      </c>
      <c r="F127" s="1089">
        <f>SUM(F128:F133)</f>
        <v>18752</v>
      </c>
    </row>
    <row r="128" spans="1:6" s="26" customFormat="1" ht="16.5" customHeight="1">
      <c r="A128" s="103" t="s">
        <v>366</v>
      </c>
      <c r="B128" s="159" t="s">
        <v>339</v>
      </c>
      <c r="C128" s="339"/>
      <c r="D128" s="196"/>
      <c r="E128" s="865"/>
      <c r="F128" s="1080">
        <f t="shared" si="5"/>
        <v>0</v>
      </c>
    </row>
    <row r="129" spans="1:6" s="26" customFormat="1" ht="16.5" customHeight="1">
      <c r="A129" s="103" t="s">
        <v>367</v>
      </c>
      <c r="B129" s="151" t="s">
        <v>333</v>
      </c>
      <c r="C129" s="339"/>
      <c r="D129" s="196"/>
      <c r="E129" s="865"/>
      <c r="F129" s="1080">
        <f t="shared" si="5"/>
        <v>0</v>
      </c>
    </row>
    <row r="130" spans="1:6" s="26" customFormat="1" ht="16.5" customHeight="1">
      <c r="A130" s="103" t="s">
        <v>368</v>
      </c>
      <c r="B130" s="151" t="s">
        <v>340</v>
      </c>
      <c r="C130" s="188"/>
      <c r="D130" s="339">
        <v>6522</v>
      </c>
      <c r="E130" s="862"/>
      <c r="F130" s="1080">
        <f t="shared" si="5"/>
        <v>6522</v>
      </c>
    </row>
    <row r="131" spans="1:6" s="26" customFormat="1" ht="18.75" customHeight="1">
      <c r="A131" s="103" t="s">
        <v>369</v>
      </c>
      <c r="B131" s="151" t="s">
        <v>407</v>
      </c>
      <c r="C131" s="187">
        <v>3000</v>
      </c>
      <c r="D131" s="339">
        <v>3000</v>
      </c>
      <c r="E131" s="862"/>
      <c r="F131" s="1080">
        <f t="shared" si="5"/>
        <v>3000</v>
      </c>
    </row>
    <row r="132" spans="1:6" s="26" customFormat="1" ht="16.5" customHeight="1">
      <c r="A132" s="103" t="s">
        <v>419</v>
      </c>
      <c r="B132" s="151" t="s">
        <v>578</v>
      </c>
      <c r="C132" s="339"/>
      <c r="D132" s="339">
        <v>6044</v>
      </c>
      <c r="E132" s="862"/>
      <c r="F132" s="1080">
        <f t="shared" si="5"/>
        <v>6044</v>
      </c>
    </row>
    <row r="133" spans="1:6" s="26" customFormat="1" ht="16.5" customHeight="1" thickBot="1">
      <c r="A133" s="462" t="s">
        <v>420</v>
      </c>
      <c r="B133" s="464" t="s">
        <v>341</v>
      </c>
      <c r="C133" s="1529">
        <v>500</v>
      </c>
      <c r="D133" s="1440">
        <v>1686</v>
      </c>
      <c r="E133" s="1530">
        <v>1500</v>
      </c>
      <c r="F133" s="1343">
        <f t="shared" si="5"/>
        <v>3186</v>
      </c>
    </row>
    <row r="134" spans="1:6" s="26" customFormat="1" ht="16.5" customHeight="1" thickBot="1">
      <c r="A134" s="101" t="s">
        <v>73</v>
      </c>
      <c r="B134" s="62" t="s">
        <v>342</v>
      </c>
      <c r="C134" s="330">
        <f>SUM(C135+C138)</f>
        <v>320825</v>
      </c>
      <c r="D134" s="330">
        <f>SUM(D135+D138)</f>
        <v>424573</v>
      </c>
      <c r="E134" s="330">
        <f>SUM(E135+E138)</f>
        <v>-120250</v>
      </c>
      <c r="F134" s="1432">
        <f>SUM(F135+F138)</f>
        <v>304323</v>
      </c>
    </row>
    <row r="135" spans="1:6" s="26" customFormat="1" ht="16.5" customHeight="1">
      <c r="A135" s="103" t="s">
        <v>5</v>
      </c>
      <c r="B135" s="160" t="s">
        <v>421</v>
      </c>
      <c r="C135" s="645">
        <f>SUM(C136:C137)</f>
        <v>166825</v>
      </c>
      <c r="D135" s="645">
        <f>SUM(D136:D137)</f>
        <v>248117</v>
      </c>
      <c r="E135" s="1349">
        <f>SUM(E136:E137)</f>
        <v>-98075</v>
      </c>
      <c r="F135" s="1090">
        <f t="shared" si="5"/>
        <v>150042</v>
      </c>
    </row>
    <row r="136" spans="1:6" s="26" customFormat="1" ht="16.5" customHeight="1">
      <c r="A136" s="104" t="s">
        <v>422</v>
      </c>
      <c r="B136" s="161" t="s">
        <v>424</v>
      </c>
      <c r="C136" s="586">
        <v>100000</v>
      </c>
      <c r="D136" s="567">
        <v>174078</v>
      </c>
      <c r="E136" s="566">
        <v>-98203</v>
      </c>
      <c r="F136" s="1080">
        <f t="shared" si="5"/>
        <v>75875</v>
      </c>
    </row>
    <row r="137" spans="1:6" s="26" customFormat="1" ht="16.5" customHeight="1">
      <c r="A137" s="104" t="s">
        <v>423</v>
      </c>
      <c r="B137" s="161" t="s">
        <v>425</v>
      </c>
      <c r="C137" s="586">
        <v>66825</v>
      </c>
      <c r="D137" s="567">
        <v>74039</v>
      </c>
      <c r="E137" s="566">
        <f>-1221+1349</f>
        <v>128</v>
      </c>
      <c r="F137" s="1080">
        <f t="shared" si="5"/>
        <v>74167</v>
      </c>
    </row>
    <row r="138" spans="1:6" s="26" customFormat="1" ht="16.5" customHeight="1">
      <c r="A138" s="104" t="s">
        <v>6</v>
      </c>
      <c r="B138" s="143" t="s">
        <v>426</v>
      </c>
      <c r="C138" s="495">
        <f>SUM(C139:C140)</f>
        <v>154000</v>
      </c>
      <c r="D138" s="495">
        <f>SUM(D139:D140)</f>
        <v>176456</v>
      </c>
      <c r="E138" s="863">
        <f>SUM(E139:E140)</f>
        <v>-22175</v>
      </c>
      <c r="F138" s="1080">
        <f t="shared" si="5"/>
        <v>154281</v>
      </c>
    </row>
    <row r="139" spans="1:6" s="26" customFormat="1" ht="16.5" customHeight="1">
      <c r="A139" s="104" t="s">
        <v>427</v>
      </c>
      <c r="B139" s="161" t="s">
        <v>424</v>
      </c>
      <c r="C139" s="587"/>
      <c r="D139" s="339"/>
      <c r="E139" s="862"/>
      <c r="F139" s="1080">
        <f t="shared" si="5"/>
        <v>0</v>
      </c>
    </row>
    <row r="140" spans="1:6" s="26" customFormat="1" ht="16.5" customHeight="1" thickBot="1">
      <c r="A140" s="111" t="s">
        <v>428</v>
      </c>
      <c r="B140" s="342" t="s">
        <v>425</v>
      </c>
      <c r="C140" s="888">
        <v>154000</v>
      </c>
      <c r="D140" s="568">
        <v>176456</v>
      </c>
      <c r="E140" s="864">
        <f>457+22697-34000-4452-6877</f>
        <v>-22175</v>
      </c>
      <c r="F140" s="1099">
        <f t="shared" si="5"/>
        <v>154281</v>
      </c>
    </row>
    <row r="141" spans="1:6" s="26" customFormat="1" ht="16.5" customHeight="1" thickBot="1">
      <c r="A141" s="101" t="s">
        <v>74</v>
      </c>
      <c r="B141" s="62" t="s">
        <v>343</v>
      </c>
      <c r="C141" s="330">
        <f>+C105+C119+C134</f>
        <v>4171334</v>
      </c>
      <c r="D141" s="330">
        <f>+D105+D119+D134</f>
        <v>5122456</v>
      </c>
      <c r="E141" s="860">
        <f>+E105+E119+E134</f>
        <v>-13382</v>
      </c>
      <c r="F141" s="1348">
        <f t="shared" si="5"/>
        <v>5109074</v>
      </c>
    </row>
    <row r="142" spans="1:6" s="26" customFormat="1" ht="27.75" customHeight="1" thickBot="1">
      <c r="A142" s="101" t="s">
        <v>75</v>
      </c>
      <c r="B142" s="62" t="s">
        <v>344</v>
      </c>
      <c r="C142" s="330">
        <f>+C143+C144+C145</f>
        <v>0</v>
      </c>
      <c r="D142" s="330">
        <f>+D143+D144+D145</f>
        <v>0</v>
      </c>
      <c r="E142" s="860">
        <f>+E143+E144+E145</f>
        <v>0</v>
      </c>
      <c r="F142" s="883"/>
    </row>
    <row r="143" spans="1:6" s="6" customFormat="1" ht="16.5" customHeight="1">
      <c r="A143" s="103" t="s">
        <v>11</v>
      </c>
      <c r="B143" s="159" t="s">
        <v>345</v>
      </c>
      <c r="C143" s="329"/>
      <c r="D143" s="215"/>
      <c r="E143" s="866"/>
      <c r="F143" s="216"/>
    </row>
    <row r="144" spans="1:6" s="26" customFormat="1" ht="16.5" customHeight="1">
      <c r="A144" s="103" t="s">
        <v>12</v>
      </c>
      <c r="B144" s="159" t="s">
        <v>346</v>
      </c>
      <c r="C144" s="340"/>
      <c r="D144" s="196"/>
      <c r="E144" s="865"/>
      <c r="F144" s="885"/>
    </row>
    <row r="145" spans="1:10" s="26" customFormat="1" ht="16.5" customHeight="1" thickBot="1">
      <c r="A145" s="111" t="s">
        <v>13</v>
      </c>
      <c r="B145" s="162" t="s">
        <v>347</v>
      </c>
      <c r="C145" s="343"/>
      <c r="D145" s="341"/>
      <c r="E145" s="867"/>
      <c r="F145" s="886"/>
    </row>
    <row r="146" spans="1:10" s="26" customFormat="1" ht="16.5" customHeight="1" thickBot="1">
      <c r="A146" s="101" t="s">
        <v>76</v>
      </c>
      <c r="B146" s="62" t="s">
        <v>348</v>
      </c>
      <c r="C146" s="333">
        <f>+C147+C148+C149+C150</f>
        <v>0</v>
      </c>
      <c r="D146" s="330">
        <f>+D147+D148+D149+D150</f>
        <v>1007680</v>
      </c>
      <c r="E146" s="860">
        <f>+E147+E148+E149+E150</f>
        <v>202718</v>
      </c>
      <c r="F146" s="1348">
        <f>D146+E146</f>
        <v>1210398</v>
      </c>
    </row>
    <row r="147" spans="1:10" s="26" customFormat="1" ht="16.5" customHeight="1">
      <c r="A147" s="103" t="s">
        <v>14</v>
      </c>
      <c r="B147" s="33" t="s">
        <v>349</v>
      </c>
      <c r="C147" s="344"/>
      <c r="D147" s="471">
        <v>908981</v>
      </c>
      <c r="E147" s="861">
        <v>202718</v>
      </c>
      <c r="F147" s="1090">
        <f>D147+E147</f>
        <v>1111699</v>
      </c>
    </row>
    <row r="148" spans="1:10" s="26" customFormat="1" ht="16.5" customHeight="1">
      <c r="A148" s="104" t="s">
        <v>15</v>
      </c>
      <c r="B148" s="32" t="s">
        <v>350</v>
      </c>
      <c r="C148" s="340"/>
      <c r="D148" s="196"/>
      <c r="E148" s="868"/>
      <c r="F148" s="885"/>
    </row>
    <row r="149" spans="1:10" s="26" customFormat="1" ht="16.5" customHeight="1">
      <c r="A149" s="104" t="s">
        <v>279</v>
      </c>
      <c r="B149" s="32" t="s">
        <v>351</v>
      </c>
      <c r="C149" s="340"/>
      <c r="D149" s="196"/>
      <c r="E149" s="865"/>
      <c r="F149" s="885"/>
    </row>
    <row r="150" spans="1:10" s="6" customFormat="1" ht="16.5" customHeight="1" thickBot="1">
      <c r="A150" s="105" t="s">
        <v>280</v>
      </c>
      <c r="B150" s="787" t="s">
        <v>352</v>
      </c>
      <c r="C150" s="343"/>
      <c r="D150" s="1512">
        <v>98699</v>
      </c>
      <c r="E150" s="1511"/>
      <c r="F150" s="1080">
        <f>D150+E150</f>
        <v>98699</v>
      </c>
    </row>
    <row r="151" spans="1:10" s="26" customFormat="1" ht="16.5" customHeight="1" thickBot="1">
      <c r="A151" s="101" t="s">
        <v>77</v>
      </c>
      <c r="B151" s="62" t="s">
        <v>447</v>
      </c>
      <c r="C151" s="345">
        <f>SUM(C152:C155)</f>
        <v>0</v>
      </c>
      <c r="D151" s="345">
        <f>SUM(D152:D155)</f>
        <v>0</v>
      </c>
      <c r="E151" s="889">
        <f>SUM(E152:E155)</f>
        <v>0</v>
      </c>
      <c r="F151" s="883"/>
      <c r="J151" s="112"/>
    </row>
    <row r="152" spans="1:10" s="26" customFormat="1" ht="16.5" customHeight="1">
      <c r="A152" s="103" t="s">
        <v>16</v>
      </c>
      <c r="B152" s="159" t="s">
        <v>353</v>
      </c>
      <c r="C152" s="344"/>
      <c r="D152" s="199"/>
      <c r="E152" s="868"/>
      <c r="F152" s="884"/>
    </row>
    <row r="153" spans="1:10" s="26" customFormat="1" ht="16.5" customHeight="1">
      <c r="A153" s="117" t="s">
        <v>17</v>
      </c>
      <c r="B153" s="151" t="s">
        <v>354</v>
      </c>
      <c r="C153" s="340"/>
      <c r="D153" s="196"/>
      <c r="E153" s="865"/>
      <c r="F153" s="885"/>
    </row>
    <row r="154" spans="1:10" s="6" customFormat="1" ht="16.5" customHeight="1">
      <c r="A154" s="117" t="s">
        <v>446</v>
      </c>
      <c r="B154" s="151" t="s">
        <v>355</v>
      </c>
      <c r="C154" s="340"/>
      <c r="D154" s="197"/>
      <c r="E154" s="869"/>
      <c r="F154" s="204"/>
    </row>
    <row r="155" spans="1:10" s="6" customFormat="1" ht="16.5" customHeight="1" thickBot="1">
      <c r="A155" s="111" t="s">
        <v>121</v>
      </c>
      <c r="B155" s="162" t="s">
        <v>356</v>
      </c>
      <c r="C155" s="343"/>
      <c r="D155" s="217"/>
      <c r="E155" s="870"/>
      <c r="F155" s="218"/>
    </row>
    <row r="156" spans="1:10" s="6" customFormat="1" ht="16.5" customHeight="1" thickBot="1">
      <c r="A156" s="101" t="s">
        <v>78</v>
      </c>
      <c r="B156" s="62" t="s">
        <v>357</v>
      </c>
      <c r="C156" s="346">
        <f>+C157+C158+C159+C160</f>
        <v>0</v>
      </c>
      <c r="D156" s="346">
        <f>+D157+D158+D159+D160</f>
        <v>0</v>
      </c>
      <c r="E156" s="871">
        <f>+E157+E158+E159+E160</f>
        <v>0</v>
      </c>
      <c r="F156" s="201"/>
    </row>
    <row r="157" spans="1:10" s="6" customFormat="1" ht="16.5" customHeight="1">
      <c r="A157" s="103" t="s">
        <v>49</v>
      </c>
      <c r="B157" s="159" t="s">
        <v>358</v>
      </c>
      <c r="C157" s="344"/>
      <c r="D157" s="215"/>
      <c r="E157" s="866"/>
      <c r="F157" s="216"/>
    </row>
    <row r="158" spans="1:10" s="6" customFormat="1" ht="16.5" customHeight="1">
      <c r="A158" s="103" t="s">
        <v>50</v>
      </c>
      <c r="B158" s="159" t="s">
        <v>359</v>
      </c>
      <c r="C158" s="340"/>
      <c r="D158" s="197"/>
      <c r="E158" s="869"/>
      <c r="F158" s="204"/>
    </row>
    <row r="159" spans="1:10" s="6" customFormat="1" ht="16.5" customHeight="1">
      <c r="A159" s="103" t="s">
        <v>107</v>
      </c>
      <c r="B159" s="159" t="s">
        <v>360</v>
      </c>
      <c r="C159" s="340"/>
      <c r="D159" s="197"/>
      <c r="E159" s="869"/>
      <c r="F159" s="204"/>
    </row>
    <row r="160" spans="1:10" s="26" customFormat="1" ht="16.5" customHeight="1" thickBot="1">
      <c r="A160" s="111" t="s">
        <v>119</v>
      </c>
      <c r="B160" s="162" t="s">
        <v>361</v>
      </c>
      <c r="C160" s="343"/>
      <c r="D160" s="341"/>
      <c r="E160" s="867"/>
      <c r="F160" s="886"/>
    </row>
    <row r="161" spans="1:6" s="26" customFormat="1" ht="16.5" customHeight="1" thickBot="1">
      <c r="A161" s="101" t="s">
        <v>79</v>
      </c>
      <c r="B161" s="62" t="s">
        <v>362</v>
      </c>
      <c r="C161" s="588">
        <f>+C142+C146+C151+C156</f>
        <v>0</v>
      </c>
      <c r="D161" s="588">
        <f>+D142+D146+D151+D156</f>
        <v>1007680</v>
      </c>
      <c r="E161" s="872">
        <f>+E142+E146+E151+E156</f>
        <v>202718</v>
      </c>
      <c r="F161" s="1348">
        <f>D161+E161</f>
        <v>1210398</v>
      </c>
    </row>
    <row r="162" spans="1:6" s="26" customFormat="1" ht="16.5" customHeight="1" thickBot="1">
      <c r="A162" s="36" t="s">
        <v>80</v>
      </c>
      <c r="B162" s="139" t="s">
        <v>363</v>
      </c>
      <c r="C162" s="588">
        <f>+C141+C161</f>
        <v>4171334</v>
      </c>
      <c r="D162" s="588">
        <f>+D141+D161</f>
        <v>6130136</v>
      </c>
      <c r="E162" s="588">
        <f>+E141+E161</f>
        <v>189336</v>
      </c>
      <c r="F162" s="1513">
        <f>+F141+F161</f>
        <v>6319472</v>
      </c>
    </row>
    <row r="163" spans="1:6" s="26" customFormat="1" ht="16.5" customHeight="1">
      <c r="A163" s="59"/>
      <c r="B163" s="56"/>
      <c r="C163" s="114"/>
    </row>
    <row r="164" spans="1:6" ht="15.75">
      <c r="A164" s="1603" t="s">
        <v>440</v>
      </c>
      <c r="B164" s="1603"/>
      <c r="C164" s="1603"/>
      <c r="D164" s="1603"/>
      <c r="E164" s="1603"/>
    </row>
    <row r="165" spans="1:6" ht="13.5" thickBot="1">
      <c r="A165" s="1604"/>
      <c r="B165" s="1604"/>
    </row>
    <row r="166" spans="1:6" ht="30" customHeight="1" thickBot="1">
      <c r="A166" s="192">
        <v>1</v>
      </c>
      <c r="B166" s="193" t="s">
        <v>441</v>
      </c>
      <c r="C166" s="890">
        <f>C76-C141</f>
        <v>-696694</v>
      </c>
      <c r="D166" s="890">
        <f>D76-D141</f>
        <v>-1049096</v>
      </c>
      <c r="E166" s="890">
        <f>E76-E141</f>
        <v>0</v>
      </c>
      <c r="F166" s="1350">
        <f>F76-F141</f>
        <v>-1049096</v>
      </c>
    </row>
    <row r="167" spans="1:6" ht="15.75">
      <c r="A167" s="190"/>
      <c r="B167" s="190"/>
      <c r="C167" s="191"/>
    </row>
    <row r="168" spans="1:6" ht="15.75">
      <c r="A168" s="1608" t="s">
        <v>448</v>
      </c>
      <c r="B168" s="1608"/>
      <c r="C168" s="1608"/>
      <c r="D168" s="1608"/>
      <c r="E168" s="1608"/>
      <c r="F168" s="1608"/>
    </row>
    <row r="169" spans="1:6" ht="13.5" customHeight="1" thickBot="1">
      <c r="A169" s="1597"/>
      <c r="B169" s="1597"/>
    </row>
    <row r="170" spans="1:6" ht="28.5" customHeight="1" thickBot="1">
      <c r="A170" s="36" t="s">
        <v>71</v>
      </c>
      <c r="B170" s="30" t="s">
        <v>449</v>
      </c>
      <c r="C170" s="1357">
        <f>C171-C174</f>
        <v>696694</v>
      </c>
      <c r="D170" s="1357">
        <f>D171-D174</f>
        <v>1049096</v>
      </c>
      <c r="E170" s="1357">
        <f>E171-E174</f>
        <v>0</v>
      </c>
      <c r="F170" s="1358">
        <f>F171-F174</f>
        <v>1049096</v>
      </c>
    </row>
    <row r="171" spans="1:6" ht="26.25" customHeight="1">
      <c r="A171" s="1367" t="s">
        <v>18</v>
      </c>
      <c r="B171" s="1409" t="s">
        <v>452</v>
      </c>
      <c r="C171" s="1368">
        <f>C101</f>
        <v>696694</v>
      </c>
      <c r="D171" s="1368">
        <f>D101</f>
        <v>2056776</v>
      </c>
      <c r="E171" s="1368">
        <f>E101</f>
        <v>202718</v>
      </c>
      <c r="F171" s="1369">
        <f>F101</f>
        <v>2259494</v>
      </c>
    </row>
    <row r="172" spans="1:6" ht="30">
      <c r="A172" s="893" t="s">
        <v>450</v>
      </c>
      <c r="B172" s="891" t="s">
        <v>614</v>
      </c>
      <c r="C172" s="1359">
        <f>'2.1.sz.mell  '!C28</f>
        <v>335144</v>
      </c>
      <c r="D172" s="1359">
        <f>'2.1.sz.mell  '!D28</f>
        <v>1037681</v>
      </c>
      <c r="E172" s="1359">
        <f>'2.1.sz.mell  '!E28</f>
        <v>0</v>
      </c>
      <c r="F172" s="1360">
        <f>'2.1.sz.mell  '!F28</f>
        <v>1037681</v>
      </c>
    </row>
    <row r="173" spans="1:6" ht="30">
      <c r="A173" s="893" t="s">
        <v>451</v>
      </c>
      <c r="B173" s="891" t="s">
        <v>605</v>
      </c>
      <c r="C173" s="1359">
        <f>'2.2.sz.mell  '!C34</f>
        <v>361550</v>
      </c>
      <c r="D173" s="1359">
        <f>'2.2.sz.mell  '!D34</f>
        <v>1019095</v>
      </c>
      <c r="E173" s="1359">
        <f>'2.2.sz.mell  '!E34</f>
        <v>202718</v>
      </c>
      <c r="F173" s="1360">
        <f>'2.2.sz.mell  '!F34</f>
        <v>1221813</v>
      </c>
    </row>
    <row r="174" spans="1:6" ht="24" customHeight="1">
      <c r="A174" s="892" t="s">
        <v>19</v>
      </c>
      <c r="B174" s="1408" t="s">
        <v>453</v>
      </c>
      <c r="C174" s="1361">
        <f>C161</f>
        <v>0</v>
      </c>
      <c r="D174" s="1361">
        <f>D161</f>
        <v>1007680</v>
      </c>
      <c r="E174" s="1361">
        <f>E161</f>
        <v>202718</v>
      </c>
      <c r="F174" s="1362">
        <f>F161</f>
        <v>1210398</v>
      </c>
    </row>
    <row r="175" spans="1:6" ht="30">
      <c r="A175" s="893" t="s">
        <v>57</v>
      </c>
      <c r="B175" s="891" t="s">
        <v>615</v>
      </c>
      <c r="C175" s="1363">
        <f>'2.1.sz.mell  '!H28</f>
        <v>0</v>
      </c>
      <c r="D175" s="1359">
        <f>'2.1.sz.mell  '!I28</f>
        <v>449996</v>
      </c>
      <c r="E175" s="1359">
        <f>'2.1.sz.mell  '!J28</f>
        <v>0</v>
      </c>
      <c r="F175" s="1360">
        <f>'2.1.sz.mell  '!K28</f>
        <v>449996</v>
      </c>
    </row>
    <row r="176" spans="1:6" ht="30.75" thickBot="1">
      <c r="A176" s="194" t="s">
        <v>58</v>
      </c>
      <c r="B176" s="195" t="s">
        <v>606</v>
      </c>
      <c r="C176" s="1364">
        <f>'2.2.sz.mell  '!H34</f>
        <v>0</v>
      </c>
      <c r="D176" s="1365">
        <f>'2.2.sz.mell  '!I34</f>
        <v>557684</v>
      </c>
      <c r="E176" s="1365">
        <f>'2.2.sz.mell  '!J34</f>
        <v>202718</v>
      </c>
      <c r="F176" s="1370">
        <f>'2.2.sz.mell  '!K34</f>
        <v>760402</v>
      </c>
    </row>
  </sheetData>
  <sheetProtection formatCells="0"/>
  <mergeCells count="9">
    <mergeCell ref="A1:E1"/>
    <mergeCell ref="A169:B169"/>
    <mergeCell ref="A2:E2"/>
    <mergeCell ref="A4:A5"/>
    <mergeCell ref="B4:B5"/>
    <mergeCell ref="A164:E164"/>
    <mergeCell ref="A165:B165"/>
    <mergeCell ref="C4:F4"/>
    <mergeCell ref="A168:F168"/>
  </mergeCells>
  <printOptions horizontalCentered="1"/>
  <pageMargins left="0.31496062992125984" right="0.31496062992125984" top="0.59055118110236227" bottom="0.39370078740157483" header="0.39370078740157483" footer="0.39370078740157483"/>
  <pageSetup paperSize="9" scale="58" orientation="portrait" verticalDpi="300" r:id="rId1"/>
  <headerFooter alignWithMargins="0">
    <oddHeader>&amp;R&amp;"Times New Roman CE,Dőlt"&amp;12 1.1 melléklet a .../2014. (..) önkormányzati rendelethez</oddHeader>
  </headerFooter>
  <rowBreaks count="2" manualBreakCount="2">
    <brk id="71" max="5" man="1"/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69"/>
  <sheetViews>
    <sheetView topLeftCell="A49" zoomScale="93" zoomScaleNormal="93" workbookViewId="0">
      <selection activeCell="J70" sqref="J70"/>
    </sheetView>
  </sheetViews>
  <sheetFormatPr defaultRowHeight="12.75"/>
  <cols>
    <col min="1" max="1" width="11.6640625" style="77" customWidth="1"/>
    <col min="2" max="2" width="79.1640625" style="73" customWidth="1"/>
    <col min="3" max="5" width="19" style="73" customWidth="1"/>
    <col min="6" max="6" width="17.5" style="73" customWidth="1"/>
    <col min="7" max="16384" width="9.33203125" style="73"/>
  </cols>
  <sheetData>
    <row r="1" spans="1:6" s="70" customFormat="1" ht="19.5" customHeight="1">
      <c r="A1" s="1599"/>
      <c r="B1" s="1666" t="s">
        <v>252</v>
      </c>
      <c r="C1" s="1660" t="s">
        <v>245</v>
      </c>
      <c r="D1" s="1661"/>
      <c r="E1" s="1661"/>
      <c r="F1" s="1662"/>
    </row>
    <row r="2" spans="1:6" s="70" customFormat="1" ht="16.5" thickBot="1">
      <c r="A2" s="1600"/>
      <c r="B2" s="1667"/>
      <c r="C2" s="1663"/>
      <c r="D2" s="1664"/>
      <c r="E2" s="1664"/>
      <c r="F2" s="1665"/>
    </row>
    <row r="3" spans="1:6" s="72" customFormat="1" ht="15.75" customHeight="1" thickBot="1">
      <c r="A3" s="70"/>
      <c r="B3" s="70"/>
      <c r="F3" s="71" t="s">
        <v>106</v>
      </c>
    </row>
    <row r="4" spans="1:6" ht="36.75" customHeight="1" thickBot="1">
      <c r="A4" s="78" t="s">
        <v>59</v>
      </c>
      <c r="B4" s="79" t="s">
        <v>0</v>
      </c>
      <c r="C4" s="202" t="s">
        <v>104</v>
      </c>
      <c r="D4" s="203" t="s">
        <v>558</v>
      </c>
      <c r="E4" s="895" t="s">
        <v>618</v>
      </c>
      <c r="F4" s="895" t="s">
        <v>471</v>
      </c>
    </row>
    <row r="5" spans="1:6" s="74" customFormat="1" ht="12.95" customHeight="1" thickBot="1">
      <c r="A5" s="230">
        <v>1</v>
      </c>
      <c r="B5" s="231">
        <v>2</v>
      </c>
      <c r="C5" s="232">
        <v>3</v>
      </c>
      <c r="D5" s="230">
        <v>4</v>
      </c>
      <c r="E5" s="731">
        <v>5</v>
      </c>
      <c r="F5" s="731">
        <v>6</v>
      </c>
    </row>
    <row r="6" spans="1:6" s="74" customFormat="1" ht="24" customHeight="1" thickBot="1">
      <c r="A6" s="1672" t="s">
        <v>1</v>
      </c>
      <c r="B6" s="1659"/>
      <c r="C6" s="1659"/>
      <c r="D6" s="1659"/>
      <c r="E6" s="1659"/>
      <c r="F6" s="1659"/>
    </row>
    <row r="7" spans="1:6" s="75" customFormat="1" ht="17.25" customHeight="1" thickBot="1">
      <c r="A7" s="381" t="s">
        <v>71</v>
      </c>
      <c r="B7" s="1112" t="s">
        <v>198</v>
      </c>
      <c r="C7" s="1113">
        <f>SUM(C8+C9+C13+C14+C15+C16+C17+C18+C19+C20)</f>
        <v>3272</v>
      </c>
      <c r="D7" s="1113">
        <f>SUM(D8+D9+D13+D14+D15+D16+D17+D18+D19+D20)</f>
        <v>5272</v>
      </c>
      <c r="E7" s="1114">
        <f>SUM(E8+E9+E13+E14+E15+E16+E17+E18+E19+E20)</f>
        <v>600</v>
      </c>
      <c r="F7" s="1110">
        <f>D7+E7</f>
        <v>5872</v>
      </c>
    </row>
    <row r="8" spans="1:6" s="75" customFormat="1" ht="17.25" customHeight="1">
      <c r="A8" s="81" t="s">
        <v>18</v>
      </c>
      <c r="B8" s="52" t="s">
        <v>199</v>
      </c>
      <c r="C8" s="511"/>
      <c r="D8" s="1115"/>
      <c r="E8" s="1116"/>
      <c r="F8" s="1117">
        <f t="shared" ref="F8:F49" si="0">D8+E8</f>
        <v>0</v>
      </c>
    </row>
    <row r="9" spans="1:6" s="75" customFormat="1" ht="17.25" customHeight="1">
      <c r="A9" s="82" t="s">
        <v>19</v>
      </c>
      <c r="B9" s="40" t="s">
        <v>200</v>
      </c>
      <c r="C9" s="503">
        <f>SUM(C10:C12)</f>
        <v>400</v>
      </c>
      <c r="D9" s="503">
        <f>SUM(D10:D12)</f>
        <v>0</v>
      </c>
      <c r="E9" s="897">
        <f>SUM(E10:E12)</f>
        <v>0</v>
      </c>
      <c r="F9" s="1118">
        <f t="shared" si="0"/>
        <v>0</v>
      </c>
    </row>
    <row r="10" spans="1:6" s="75" customFormat="1" ht="17.25" customHeight="1">
      <c r="A10" s="82" t="s">
        <v>57</v>
      </c>
      <c r="B10" s="93" t="s">
        <v>249</v>
      </c>
      <c r="C10" s="504">
        <v>400</v>
      </c>
      <c r="D10" s="502"/>
      <c r="E10" s="764"/>
      <c r="F10" s="1118">
        <f t="shared" si="0"/>
        <v>0</v>
      </c>
    </row>
    <row r="11" spans="1:6" s="75" customFormat="1" ht="17.25" customHeight="1">
      <c r="A11" s="82" t="s">
        <v>58</v>
      </c>
      <c r="B11" s="93" t="s">
        <v>250</v>
      </c>
      <c r="C11" s="504"/>
      <c r="D11" s="502"/>
      <c r="E11" s="764"/>
      <c r="F11" s="1118">
        <f t="shared" si="0"/>
        <v>0</v>
      </c>
    </row>
    <row r="12" spans="1:6" s="75" customFormat="1" ht="17.25" customHeight="1">
      <c r="A12" s="82" t="s">
        <v>248</v>
      </c>
      <c r="B12" s="93" t="s">
        <v>251</v>
      </c>
      <c r="C12" s="504"/>
      <c r="D12" s="502"/>
      <c r="E12" s="764"/>
      <c r="F12" s="1118">
        <f t="shared" si="0"/>
        <v>0</v>
      </c>
    </row>
    <row r="13" spans="1:6" s="75" customFormat="1" ht="17.25" customHeight="1">
      <c r="A13" s="82" t="s">
        <v>20</v>
      </c>
      <c r="B13" s="40" t="s">
        <v>201</v>
      </c>
      <c r="C13" s="504">
        <v>1233</v>
      </c>
      <c r="D13" s="502">
        <v>3479</v>
      </c>
      <c r="E13" s="765">
        <v>472</v>
      </c>
      <c r="F13" s="1118">
        <f t="shared" si="0"/>
        <v>3951</v>
      </c>
    </row>
    <row r="14" spans="1:6" s="75" customFormat="1" ht="17.25" customHeight="1">
      <c r="A14" s="82" t="s">
        <v>21</v>
      </c>
      <c r="B14" s="40" t="s">
        <v>202</v>
      </c>
      <c r="C14" s="504"/>
      <c r="D14" s="502"/>
      <c r="E14" s="765"/>
      <c r="F14" s="1118">
        <f t="shared" si="0"/>
        <v>0</v>
      </c>
    </row>
    <row r="15" spans="1:6" s="75" customFormat="1" ht="17.25" customHeight="1">
      <c r="A15" s="82" t="s">
        <v>36</v>
      </c>
      <c r="B15" s="40" t="s">
        <v>203</v>
      </c>
      <c r="C15" s="504"/>
      <c r="D15" s="502"/>
      <c r="E15" s="765"/>
      <c r="F15" s="1118">
        <f t="shared" si="0"/>
        <v>0</v>
      </c>
    </row>
    <row r="16" spans="1:6" s="75" customFormat="1" ht="17.25" customHeight="1">
      <c r="A16" s="82" t="s">
        <v>22</v>
      </c>
      <c r="B16" s="40" t="s">
        <v>204</v>
      </c>
      <c r="C16" s="504">
        <v>689</v>
      </c>
      <c r="D16" s="502">
        <v>1103</v>
      </c>
      <c r="E16" s="765">
        <v>128</v>
      </c>
      <c r="F16" s="1118">
        <f t="shared" si="0"/>
        <v>1231</v>
      </c>
    </row>
    <row r="17" spans="1:6" s="75" customFormat="1" ht="17.25" customHeight="1">
      <c r="A17" s="82" t="s">
        <v>23</v>
      </c>
      <c r="B17" s="53" t="s">
        <v>205</v>
      </c>
      <c r="C17" s="504"/>
      <c r="D17" s="502"/>
      <c r="E17" s="765"/>
      <c r="F17" s="1118">
        <f t="shared" si="0"/>
        <v>0</v>
      </c>
    </row>
    <row r="18" spans="1:6" s="75" customFormat="1" ht="17.25" customHeight="1">
      <c r="A18" s="82" t="s">
        <v>30</v>
      </c>
      <c r="B18" s="40" t="s">
        <v>206</v>
      </c>
      <c r="C18" s="501">
        <v>30</v>
      </c>
      <c r="D18" s="502">
        <v>30</v>
      </c>
      <c r="E18" s="766"/>
      <c r="F18" s="1118">
        <f t="shared" si="0"/>
        <v>30</v>
      </c>
    </row>
    <row r="19" spans="1:6" s="58" customFormat="1" ht="17.25" customHeight="1">
      <c r="A19" s="82" t="s">
        <v>31</v>
      </c>
      <c r="B19" s="40" t="s">
        <v>207</v>
      </c>
      <c r="C19" s="504"/>
      <c r="D19" s="502"/>
      <c r="E19" s="766"/>
      <c r="F19" s="1118">
        <f t="shared" si="0"/>
        <v>0</v>
      </c>
    </row>
    <row r="20" spans="1:6" s="58" customFormat="1" ht="17.25" customHeight="1" thickBot="1">
      <c r="A20" s="229" t="s">
        <v>32</v>
      </c>
      <c r="B20" s="1119" t="s">
        <v>208</v>
      </c>
      <c r="C20" s="516">
        <v>920</v>
      </c>
      <c r="D20" s="1120">
        <v>660</v>
      </c>
      <c r="E20" s="1121"/>
      <c r="F20" s="1111">
        <f t="shared" si="0"/>
        <v>660</v>
      </c>
    </row>
    <row r="21" spans="1:6" s="75" customFormat="1" ht="33" customHeight="1" thickBot="1">
      <c r="A21" s="381" t="s">
        <v>72</v>
      </c>
      <c r="B21" s="1112" t="s">
        <v>209</v>
      </c>
      <c r="C21" s="1113">
        <f>SUM(C22:C24)</f>
        <v>0</v>
      </c>
      <c r="D21" s="1113">
        <f>SUM(D22:D24)</f>
        <v>11626</v>
      </c>
      <c r="E21" s="1113">
        <f>SUM(E22:E24)</f>
        <v>264</v>
      </c>
      <c r="F21" s="1110">
        <f t="shared" si="0"/>
        <v>11890</v>
      </c>
    </row>
    <row r="22" spans="1:6" s="58" customFormat="1" ht="17.25" customHeight="1">
      <c r="A22" s="81" t="s">
        <v>24</v>
      </c>
      <c r="B22" s="52" t="s">
        <v>210</v>
      </c>
      <c r="C22" s="553"/>
      <c r="D22" s="555"/>
      <c r="E22" s="313"/>
      <c r="F22" s="1117">
        <f t="shared" si="0"/>
        <v>0</v>
      </c>
    </row>
    <row r="23" spans="1:6" s="58" customFormat="1" ht="17.25" customHeight="1">
      <c r="A23" s="82" t="s">
        <v>25</v>
      </c>
      <c r="B23" s="40" t="s">
        <v>211</v>
      </c>
      <c r="C23" s="554"/>
      <c r="D23" s="520"/>
      <c r="E23" s="297"/>
      <c r="F23" s="1118">
        <f t="shared" si="0"/>
        <v>0</v>
      </c>
    </row>
    <row r="24" spans="1:6" s="58" customFormat="1" ht="17.25" customHeight="1">
      <c r="A24" s="82" t="s">
        <v>26</v>
      </c>
      <c r="B24" s="40" t="s">
        <v>212</v>
      </c>
      <c r="C24" s="525">
        <f>SUM(C25:C28)</f>
        <v>0</v>
      </c>
      <c r="D24" s="525">
        <f>SUM(D25:D28)</f>
        <v>11626</v>
      </c>
      <c r="E24" s="898">
        <v>264</v>
      </c>
      <c r="F24" s="1118">
        <f t="shared" si="0"/>
        <v>11890</v>
      </c>
    </row>
    <row r="25" spans="1:6" s="58" customFormat="1" ht="17.25" customHeight="1">
      <c r="A25" s="82" t="s">
        <v>366</v>
      </c>
      <c r="B25" s="83" t="s">
        <v>370</v>
      </c>
      <c r="C25" s="554"/>
      <c r="D25" s="520"/>
      <c r="E25" s="297"/>
      <c r="F25" s="1118">
        <f t="shared" si="0"/>
        <v>0</v>
      </c>
    </row>
    <row r="26" spans="1:6" s="58" customFormat="1" ht="17.25" customHeight="1">
      <c r="A26" s="82" t="s">
        <v>367</v>
      </c>
      <c r="B26" s="83" t="s">
        <v>233</v>
      </c>
      <c r="C26" s="554"/>
      <c r="D26" s="520"/>
      <c r="E26" s="297"/>
      <c r="F26" s="1118">
        <f t="shared" si="0"/>
        <v>0</v>
      </c>
    </row>
    <row r="27" spans="1:6" s="58" customFormat="1" ht="17.25" customHeight="1">
      <c r="A27" s="82" t="s">
        <v>368</v>
      </c>
      <c r="B27" s="83" t="s">
        <v>234</v>
      </c>
      <c r="C27" s="554"/>
      <c r="D27" s="520"/>
      <c r="E27" s="297"/>
      <c r="F27" s="1118">
        <f t="shared" si="0"/>
        <v>0</v>
      </c>
    </row>
    <row r="28" spans="1:6" s="58" customFormat="1" ht="17.25" customHeight="1" thickBot="1">
      <c r="A28" s="229" t="s">
        <v>369</v>
      </c>
      <c r="B28" s="314" t="s">
        <v>235</v>
      </c>
      <c r="C28" s="556"/>
      <c r="D28" s="496">
        <v>11626</v>
      </c>
      <c r="E28" s="506">
        <v>264</v>
      </c>
      <c r="F28" s="1123">
        <f t="shared" si="0"/>
        <v>11890</v>
      </c>
    </row>
    <row r="29" spans="1:6" s="58" customFormat="1" ht="17.25" customHeight="1" thickBot="1">
      <c r="A29" s="283" t="s">
        <v>73</v>
      </c>
      <c r="B29" s="284" t="s">
        <v>41</v>
      </c>
      <c r="C29" s="1122"/>
      <c r="D29" s="1122"/>
      <c r="E29" s="937">
        <v>400</v>
      </c>
      <c r="F29" s="1111">
        <f t="shared" si="0"/>
        <v>400</v>
      </c>
    </row>
    <row r="30" spans="1:6" s="58" customFormat="1" ht="33.75" customHeight="1" thickBot="1">
      <c r="A30" s="1124" t="s">
        <v>74</v>
      </c>
      <c r="B30" s="1125" t="s">
        <v>213</v>
      </c>
      <c r="C30" s="1126">
        <f>+C31+C32</f>
        <v>0</v>
      </c>
      <c r="D30" s="1126">
        <f>+D31+D32</f>
        <v>0</v>
      </c>
      <c r="E30" s="1114">
        <f>+E31+E32</f>
        <v>0</v>
      </c>
      <c r="F30" s="1110">
        <f t="shared" si="0"/>
        <v>0</v>
      </c>
    </row>
    <row r="31" spans="1:6" s="58" customFormat="1" ht="17.25" customHeight="1">
      <c r="A31" s="81" t="s">
        <v>9</v>
      </c>
      <c r="B31" s="228" t="s">
        <v>211</v>
      </c>
      <c r="C31" s="559"/>
      <c r="D31" s="555"/>
      <c r="E31" s="313"/>
      <c r="F31" s="1117">
        <f t="shared" si="0"/>
        <v>0</v>
      </c>
    </row>
    <row r="32" spans="1:6" s="58" customFormat="1" ht="17.25" customHeight="1">
      <c r="A32" s="84" t="s">
        <v>10</v>
      </c>
      <c r="B32" s="44" t="s">
        <v>214</v>
      </c>
      <c r="C32" s="557">
        <f>SUM(C33:C36)</f>
        <v>0</v>
      </c>
      <c r="D32" s="557">
        <f>SUM(D33:D36)</f>
        <v>0</v>
      </c>
      <c r="E32" s="934">
        <f>SUM(E33:E36)</f>
        <v>0</v>
      </c>
      <c r="F32" s="1118">
        <f t="shared" si="0"/>
        <v>0</v>
      </c>
    </row>
    <row r="33" spans="1:6" s="58" customFormat="1" ht="17.25" customHeight="1">
      <c r="A33" s="84" t="s">
        <v>215</v>
      </c>
      <c r="B33" s="40" t="s">
        <v>237</v>
      </c>
      <c r="C33" s="558"/>
      <c r="D33" s="520"/>
      <c r="E33" s="297"/>
      <c r="F33" s="1118">
        <f t="shared" si="0"/>
        <v>0</v>
      </c>
    </row>
    <row r="34" spans="1:6" s="58" customFormat="1" ht="17.25" customHeight="1">
      <c r="A34" s="84" t="s">
        <v>238</v>
      </c>
      <c r="B34" s="83" t="s">
        <v>233</v>
      </c>
      <c r="C34" s="558"/>
      <c r="D34" s="520"/>
      <c r="E34" s="297"/>
      <c r="F34" s="1118">
        <f t="shared" si="0"/>
        <v>0</v>
      </c>
    </row>
    <row r="35" spans="1:6" s="58" customFormat="1" ht="17.25" customHeight="1">
      <c r="A35" s="84" t="s">
        <v>239</v>
      </c>
      <c r="B35" s="83" t="s">
        <v>234</v>
      </c>
      <c r="C35" s="558"/>
      <c r="D35" s="520"/>
      <c r="E35" s="297"/>
      <c r="F35" s="1118">
        <f t="shared" si="0"/>
        <v>0</v>
      </c>
    </row>
    <row r="36" spans="1:6" s="58" customFormat="1" ht="17.25" customHeight="1" thickBot="1">
      <c r="A36" s="318" t="s">
        <v>240</v>
      </c>
      <c r="B36" s="314" t="s">
        <v>235</v>
      </c>
      <c r="C36" s="561"/>
      <c r="D36" s="496"/>
      <c r="E36" s="316"/>
      <c r="F36" s="1123">
        <f t="shared" si="0"/>
        <v>0</v>
      </c>
    </row>
    <row r="37" spans="1:6" s="58" customFormat="1" ht="17.25" customHeight="1" thickBot="1">
      <c r="A37" s="904" t="s">
        <v>75</v>
      </c>
      <c r="B37" s="905" t="s">
        <v>216</v>
      </c>
      <c r="C37" s="1128">
        <f>+C38+C39+C40</f>
        <v>0</v>
      </c>
      <c r="D37" s="1128">
        <f>+D38+D39+D40</f>
        <v>0</v>
      </c>
      <c r="E37" s="1129">
        <f>+E38+E39+E40</f>
        <v>0</v>
      </c>
      <c r="F37" s="1127">
        <f t="shared" si="0"/>
        <v>0</v>
      </c>
    </row>
    <row r="38" spans="1:6" s="58" customFormat="1" ht="17.25" customHeight="1">
      <c r="A38" s="81" t="s">
        <v>11</v>
      </c>
      <c r="B38" s="228" t="s">
        <v>217</v>
      </c>
      <c r="C38" s="559"/>
      <c r="D38" s="555"/>
      <c r="E38" s="313"/>
      <c r="F38" s="1117">
        <f t="shared" si="0"/>
        <v>0</v>
      </c>
    </row>
    <row r="39" spans="1:6" s="58" customFormat="1" ht="17.25" customHeight="1">
      <c r="A39" s="84" t="s">
        <v>12</v>
      </c>
      <c r="B39" s="47" t="s">
        <v>218</v>
      </c>
      <c r="C39" s="560"/>
      <c r="D39" s="520"/>
      <c r="E39" s="297"/>
      <c r="F39" s="1118">
        <f t="shared" si="0"/>
        <v>0</v>
      </c>
    </row>
    <row r="40" spans="1:6" s="58" customFormat="1" ht="17.25" customHeight="1" thickBot="1">
      <c r="A40" s="229" t="s">
        <v>13</v>
      </c>
      <c r="B40" s="54" t="s">
        <v>219</v>
      </c>
      <c r="C40" s="561"/>
      <c r="D40" s="496"/>
      <c r="E40" s="316"/>
      <c r="F40" s="1123">
        <f t="shared" si="0"/>
        <v>0</v>
      </c>
    </row>
    <row r="41" spans="1:6" s="75" customFormat="1" ht="17.25" customHeight="1" thickBot="1">
      <c r="A41" s="283" t="s">
        <v>76</v>
      </c>
      <c r="B41" s="284" t="s">
        <v>220</v>
      </c>
      <c r="C41" s="1122"/>
      <c r="D41" s="1130"/>
      <c r="E41" s="1131"/>
      <c r="F41" s="1111">
        <f t="shared" si="0"/>
        <v>0</v>
      </c>
    </row>
    <row r="42" spans="1:6" s="75" customFormat="1" ht="17.25" customHeight="1" thickBot="1">
      <c r="A42" s="41" t="s">
        <v>77</v>
      </c>
      <c r="B42" s="42" t="s">
        <v>221</v>
      </c>
      <c r="C42" s="563"/>
      <c r="D42" s="562"/>
      <c r="E42" s="308"/>
      <c r="F42" s="290">
        <f t="shared" si="0"/>
        <v>0</v>
      </c>
    </row>
    <row r="43" spans="1:6" s="75" customFormat="1" ht="17.25" customHeight="1" thickBot="1">
      <c r="A43" s="37" t="s">
        <v>78</v>
      </c>
      <c r="B43" s="42" t="s">
        <v>222</v>
      </c>
      <c r="C43" s="564">
        <f>+C7+C21+C29+C30+C37+C41+C42</f>
        <v>3272</v>
      </c>
      <c r="D43" s="565">
        <f>+D7+D21+D29+D30+D37+D41+D42</f>
        <v>16898</v>
      </c>
      <c r="E43" s="288">
        <f>+E7+E21+E29+E30+E37+E41+E42</f>
        <v>1264</v>
      </c>
      <c r="F43" s="290">
        <f>+F7+F21+F29+F30+F37+F41+F42</f>
        <v>18162</v>
      </c>
    </row>
    <row r="44" spans="1:6" s="75" customFormat="1" ht="17.25" customHeight="1" thickBot="1">
      <c r="A44" s="45" t="s">
        <v>79</v>
      </c>
      <c r="B44" s="42" t="s">
        <v>223</v>
      </c>
      <c r="C44" s="564">
        <f>+C45+C46+C47</f>
        <v>375795</v>
      </c>
      <c r="D44" s="565">
        <f>+D45+D46+D47</f>
        <v>620582</v>
      </c>
      <c r="E44" s="289">
        <v>40531</v>
      </c>
      <c r="F44" s="290">
        <f>+F45+F46+F47</f>
        <v>661113</v>
      </c>
    </row>
    <row r="45" spans="1:6" s="75" customFormat="1" ht="17.25" customHeight="1">
      <c r="A45" s="81" t="s">
        <v>224</v>
      </c>
      <c r="B45" s="228" t="s">
        <v>111</v>
      </c>
      <c r="C45" s="559"/>
      <c r="D45" s="1133">
        <v>14895</v>
      </c>
      <c r="E45" s="500"/>
      <c r="F45" s="1177">
        <f t="shared" si="0"/>
        <v>14895</v>
      </c>
    </row>
    <row r="46" spans="1:6" s="75" customFormat="1" ht="17.25" customHeight="1">
      <c r="A46" s="84" t="s">
        <v>225</v>
      </c>
      <c r="B46" s="47" t="s">
        <v>226</v>
      </c>
      <c r="C46" s="560"/>
      <c r="D46" s="518"/>
      <c r="E46" s="910"/>
      <c r="F46" s="1118">
        <f t="shared" si="0"/>
        <v>0</v>
      </c>
    </row>
    <row r="47" spans="1:6" s="58" customFormat="1" ht="17.25" customHeight="1">
      <c r="A47" s="85" t="s">
        <v>227</v>
      </c>
      <c r="B47" s="55" t="s">
        <v>228</v>
      </c>
      <c r="C47" s="525">
        <f>SUM(C48:C49)</f>
        <v>375795</v>
      </c>
      <c r="D47" s="525">
        <f>SUM(D48:D49)</f>
        <v>605687</v>
      </c>
      <c r="E47" s="525">
        <v>40531</v>
      </c>
      <c r="F47" s="1176">
        <f t="shared" si="0"/>
        <v>646218</v>
      </c>
    </row>
    <row r="48" spans="1:6" s="58" customFormat="1" ht="17.25" customHeight="1">
      <c r="A48" s="82" t="s">
        <v>241</v>
      </c>
      <c r="B48" s="47" t="s">
        <v>243</v>
      </c>
      <c r="C48" s="566">
        <v>202574</v>
      </c>
      <c r="D48" s="520">
        <v>428739</v>
      </c>
      <c r="E48" s="505">
        <v>40531</v>
      </c>
      <c r="F48" s="1176">
        <f t="shared" si="0"/>
        <v>469270</v>
      </c>
    </row>
    <row r="49" spans="1:7" s="58" customFormat="1" ht="17.25" customHeight="1" thickBot="1">
      <c r="A49" s="318" t="s">
        <v>242</v>
      </c>
      <c r="B49" s="87" t="s">
        <v>244</v>
      </c>
      <c r="C49" s="1134">
        <f>172243+978</f>
        <v>173221</v>
      </c>
      <c r="D49" s="496">
        <v>176948</v>
      </c>
      <c r="E49" s="506"/>
      <c r="F49" s="1225">
        <f t="shared" si="0"/>
        <v>176948</v>
      </c>
    </row>
    <row r="50" spans="1:7" s="58" customFormat="1" ht="26.25" customHeight="1" thickBot="1">
      <c r="A50" s="1493" t="s">
        <v>80</v>
      </c>
      <c r="B50" s="1494" t="s">
        <v>229</v>
      </c>
      <c r="C50" s="521">
        <f>+C43+C44</f>
        <v>379067</v>
      </c>
      <c r="D50" s="545">
        <f>+D43+D44</f>
        <v>637480</v>
      </c>
      <c r="E50" s="545">
        <f>+E43+E44</f>
        <v>41795</v>
      </c>
      <c r="F50" s="1495">
        <f>+F43+F44</f>
        <v>679275</v>
      </c>
    </row>
    <row r="51" spans="1:7" ht="16.5" thickBot="1">
      <c r="A51" s="88"/>
      <c r="B51" s="89"/>
      <c r="C51" s="90"/>
    </row>
    <row r="52" spans="1:7" s="74" customFormat="1" ht="33.75" customHeight="1" thickBot="1">
      <c r="A52" s="78"/>
      <c r="B52" s="233" t="s">
        <v>2</v>
      </c>
      <c r="C52" s="202" t="s">
        <v>104</v>
      </c>
      <c r="D52" s="203" t="s">
        <v>558</v>
      </c>
      <c r="E52" s="895" t="s">
        <v>618</v>
      </c>
      <c r="F52" s="895" t="s">
        <v>471</v>
      </c>
    </row>
    <row r="53" spans="1:7" s="76" customFormat="1" ht="22.5" customHeight="1" thickBot="1">
      <c r="A53" s="381" t="s">
        <v>71</v>
      </c>
      <c r="B53" s="706" t="s">
        <v>230</v>
      </c>
      <c r="C53" s="1181">
        <f>SUM(C54:C58)</f>
        <v>379067</v>
      </c>
      <c r="D53" s="1181">
        <f>SUM(D54:D58)</f>
        <v>630180</v>
      </c>
      <c r="E53" s="1193">
        <f>SUM(E54:E58)</f>
        <v>41795</v>
      </c>
      <c r="F53" s="1193">
        <f>SUM(F54:F58)</f>
        <v>671975</v>
      </c>
    </row>
    <row r="54" spans="1:7" ht="20.25" customHeight="1">
      <c r="A54" s="382" t="s">
        <v>18</v>
      </c>
      <c r="B54" s="247" t="s">
        <v>98</v>
      </c>
      <c r="C54" s="1182">
        <v>176767</v>
      </c>
      <c r="D54" s="1182">
        <v>191399</v>
      </c>
      <c r="E54" s="1183">
        <f>459-92</f>
        <v>367</v>
      </c>
      <c r="F54" s="1184">
        <f t="shared" ref="F54:F63" si="1">D54+E54</f>
        <v>191766</v>
      </c>
    </row>
    <row r="55" spans="1:7" ht="20.25" customHeight="1">
      <c r="A55" s="92" t="s">
        <v>19</v>
      </c>
      <c r="B55" s="243" t="s">
        <v>53</v>
      </c>
      <c r="C55" s="1185">
        <v>50643</v>
      </c>
      <c r="D55" s="1186">
        <v>54709</v>
      </c>
      <c r="E55" s="1187">
        <v>123</v>
      </c>
      <c r="F55" s="1188">
        <f t="shared" si="1"/>
        <v>54832</v>
      </c>
      <c r="G55" s="417"/>
    </row>
    <row r="56" spans="1:7" ht="20.25" customHeight="1">
      <c r="A56" s="92" t="s">
        <v>20</v>
      </c>
      <c r="B56" s="243" t="s">
        <v>35</v>
      </c>
      <c r="C56" s="1185">
        <v>77157</v>
      </c>
      <c r="D56" s="1186">
        <v>88193</v>
      </c>
      <c r="E56" s="1183">
        <v>1002</v>
      </c>
      <c r="F56" s="1188">
        <f t="shared" si="1"/>
        <v>89195</v>
      </c>
      <c r="G56" s="417"/>
    </row>
    <row r="57" spans="1:7" ht="20.25" customHeight="1">
      <c r="A57" s="92" t="s">
        <v>21</v>
      </c>
      <c r="B57" s="243" t="s">
        <v>54</v>
      </c>
      <c r="C57" s="1185">
        <v>74500</v>
      </c>
      <c r="D57" s="1186">
        <v>295745</v>
      </c>
      <c r="E57" s="1183">
        <v>40211</v>
      </c>
      <c r="F57" s="1188">
        <f t="shared" si="1"/>
        <v>335956</v>
      </c>
    </row>
    <row r="58" spans="1:7" ht="20.25" customHeight="1" thickBot="1">
      <c r="A58" s="384" t="s">
        <v>36</v>
      </c>
      <c r="B58" s="707" t="s">
        <v>55</v>
      </c>
      <c r="C58" s="1189"/>
      <c r="D58" s="1190">
        <v>134</v>
      </c>
      <c r="E58" s="1191">
        <v>92</v>
      </c>
      <c r="F58" s="1192">
        <f t="shared" si="1"/>
        <v>226</v>
      </c>
    </row>
    <row r="59" spans="1:7" ht="20.25" customHeight="1" thickBot="1">
      <c r="A59" s="37" t="s">
        <v>72</v>
      </c>
      <c r="B59" s="1168" t="s">
        <v>231</v>
      </c>
      <c r="C59" s="1193">
        <f>SUM(C60:C62)</f>
        <v>0</v>
      </c>
      <c r="D59" s="1193">
        <f>SUM(D60:D62)</f>
        <v>7300</v>
      </c>
      <c r="E59" s="1179">
        <f>SUM(E60:E62)</f>
        <v>0</v>
      </c>
      <c r="F59" s="1194">
        <f t="shared" si="1"/>
        <v>7300</v>
      </c>
    </row>
    <row r="60" spans="1:7" s="76" customFormat="1" ht="20.25" customHeight="1">
      <c r="A60" s="919" t="s">
        <v>24</v>
      </c>
      <c r="B60" s="1167" t="s">
        <v>108</v>
      </c>
      <c r="C60" s="1186"/>
      <c r="D60" s="1186">
        <v>7300</v>
      </c>
      <c r="E60" s="1195"/>
      <c r="F60" s="1196">
        <f t="shared" si="1"/>
        <v>7300</v>
      </c>
    </row>
    <row r="61" spans="1:7" ht="20.25" customHeight="1">
      <c r="A61" s="92" t="s">
        <v>25</v>
      </c>
      <c r="B61" s="243" t="s">
        <v>56</v>
      </c>
      <c r="C61" s="1185"/>
      <c r="D61" s="1197"/>
      <c r="E61" s="1198"/>
      <c r="F61" s="1188">
        <f t="shared" si="1"/>
        <v>0</v>
      </c>
    </row>
    <row r="62" spans="1:7" ht="20.25" customHeight="1" thickBot="1">
      <c r="A62" s="920" t="s">
        <v>26</v>
      </c>
      <c r="B62" s="1169" t="s">
        <v>3</v>
      </c>
      <c r="C62" s="1199"/>
      <c r="D62" s="1200"/>
      <c r="E62" s="1201"/>
      <c r="F62" s="1202">
        <f t="shared" si="1"/>
        <v>0</v>
      </c>
    </row>
    <row r="63" spans="1:7" ht="20.25" customHeight="1" thickBot="1">
      <c r="A63" s="37" t="s">
        <v>73</v>
      </c>
      <c r="B63" s="708" t="s">
        <v>232</v>
      </c>
      <c r="C63" s="1193">
        <f>+C53+C59</f>
        <v>379067</v>
      </c>
      <c r="D63" s="1193">
        <f>+D53+D59</f>
        <v>637480</v>
      </c>
      <c r="E63" s="1193">
        <f>+E53+E59</f>
        <v>41795</v>
      </c>
      <c r="F63" s="290">
        <f t="shared" si="1"/>
        <v>679275</v>
      </c>
    </row>
    <row r="64" spans="1:7" ht="15.75" customHeight="1" thickBot="1">
      <c r="A64" s="240"/>
      <c r="B64" s="241"/>
      <c r="C64" s="241"/>
      <c r="D64" s="242"/>
    </row>
    <row r="65" spans="1:6" ht="19.5" customHeight="1" thickBot="1">
      <c r="A65" s="1668" t="s">
        <v>60</v>
      </c>
      <c r="B65" s="1669"/>
      <c r="C65" s="1273">
        <v>63</v>
      </c>
      <c r="D65" s="1274">
        <v>66</v>
      </c>
      <c r="E65" s="1274">
        <v>2</v>
      </c>
      <c r="F65" s="1279">
        <f>D65+E65</f>
        <v>68</v>
      </c>
    </row>
    <row r="66" spans="1:6" ht="19.5" customHeight="1" thickBot="1">
      <c r="A66" s="1670" t="s">
        <v>61</v>
      </c>
      <c r="B66" s="1671"/>
      <c r="C66" s="709"/>
      <c r="D66" s="709"/>
      <c r="E66" s="309"/>
      <c r="F66" s="239">
        <f>D66+E66</f>
        <v>0</v>
      </c>
    </row>
    <row r="67" spans="1:6" ht="15.75">
      <c r="A67" s="549"/>
      <c r="B67" s="550"/>
      <c r="C67" s="551"/>
      <c r="D67" s="551"/>
      <c r="E67" s="551"/>
    </row>
    <row r="68" spans="1:6">
      <c r="A68" s="552"/>
      <c r="B68" s="242"/>
      <c r="C68" s="242"/>
      <c r="D68" s="242"/>
      <c r="E68" s="242"/>
    </row>
    <row r="69" spans="1:6">
      <c r="A69" s="552"/>
      <c r="B69" s="242"/>
      <c r="C69" s="242"/>
      <c r="D69" s="242"/>
      <c r="E69" s="242"/>
    </row>
  </sheetData>
  <sheetProtection formatCells="0"/>
  <mergeCells count="6">
    <mergeCell ref="A1:A2"/>
    <mergeCell ref="B1:B2"/>
    <mergeCell ref="A65:B65"/>
    <mergeCell ref="A66:B66"/>
    <mergeCell ref="C1:F2"/>
    <mergeCell ref="A6:F6"/>
  </mergeCells>
  <printOptions horizontalCentered="1"/>
  <pageMargins left="0.19685039370078741" right="0.39370078740157483" top="0.78740157480314965" bottom="0.59055118110236227" header="0.59055118110236227" footer="0.59055118110236227"/>
  <pageSetup paperSize="9" scale="58" orientation="portrait" verticalDpi="300" r:id="rId1"/>
  <headerFooter alignWithMargins="0">
    <oddHeader>&amp;R&amp;"Times New Roman CE,Dőlt"&amp;12 10 melléklet a ..../2014. (...)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68"/>
  <sheetViews>
    <sheetView topLeftCell="A49" zoomScale="93" zoomScaleNormal="93" workbookViewId="0">
      <selection activeCell="I69" sqref="I69"/>
    </sheetView>
  </sheetViews>
  <sheetFormatPr defaultRowHeight="12.75"/>
  <cols>
    <col min="1" max="1" width="13.83203125" style="77" customWidth="1"/>
    <col min="2" max="2" width="84" style="73" customWidth="1"/>
    <col min="3" max="3" width="21.6640625" style="73" customWidth="1"/>
    <col min="4" max="4" width="18.1640625" style="73" customWidth="1"/>
    <col min="5" max="5" width="17.83203125" style="73" customWidth="1"/>
    <col min="6" max="6" width="17.33203125" style="73" customWidth="1"/>
    <col min="7" max="16384" width="9.33203125" style="73"/>
  </cols>
  <sheetData>
    <row r="1" spans="1:6" s="11" customFormat="1" ht="21" customHeight="1" thickBot="1">
      <c r="A1" s="10"/>
      <c r="B1" s="68"/>
      <c r="C1" s="69"/>
    </row>
    <row r="2" spans="1:6" s="70" customFormat="1" ht="21" customHeight="1">
      <c r="A2" s="1622"/>
      <c r="B2" s="1673" t="s">
        <v>246</v>
      </c>
      <c r="C2" s="1673" t="s">
        <v>245</v>
      </c>
      <c r="D2" s="1676"/>
      <c r="E2" s="1676"/>
      <c r="F2" s="1677"/>
    </row>
    <row r="3" spans="1:6" s="70" customFormat="1" ht="16.5" customHeight="1" thickBot="1">
      <c r="A3" s="1623"/>
      <c r="B3" s="1674"/>
      <c r="C3" s="1674"/>
      <c r="D3" s="1678"/>
      <c r="E3" s="1678"/>
      <c r="F3" s="1679"/>
    </row>
    <row r="4" spans="1:6" s="72" customFormat="1" ht="18" customHeight="1" thickBot="1">
      <c r="A4" s="70"/>
      <c r="B4" s="70"/>
      <c r="F4" s="71" t="s">
        <v>106</v>
      </c>
    </row>
    <row r="5" spans="1:6" ht="33.75" customHeight="1" thickBot="1">
      <c r="A5" s="78" t="s">
        <v>59</v>
      </c>
      <c r="B5" s="37" t="s">
        <v>0</v>
      </c>
      <c r="C5" s="202" t="s">
        <v>104</v>
      </c>
      <c r="D5" s="203" t="s">
        <v>558</v>
      </c>
      <c r="E5" s="895" t="s">
        <v>618</v>
      </c>
      <c r="F5" s="895" t="s">
        <v>471</v>
      </c>
    </row>
    <row r="6" spans="1:6" s="74" customFormat="1" ht="12.95" customHeight="1" thickBot="1">
      <c r="A6" s="730">
        <v>1</v>
      </c>
      <c r="B6" s="230">
        <v>2</v>
      </c>
      <c r="C6" s="272">
        <v>3</v>
      </c>
      <c r="D6" s="230">
        <v>4</v>
      </c>
      <c r="E6" s="731">
        <v>5</v>
      </c>
      <c r="F6" s="731">
        <v>6</v>
      </c>
    </row>
    <row r="7" spans="1:6" s="74" customFormat="1" ht="24.75" customHeight="1" thickBot="1">
      <c r="A7" s="1675" t="s">
        <v>1</v>
      </c>
      <c r="B7" s="1675"/>
      <c r="C7" s="1675"/>
      <c r="D7" s="1675"/>
      <c r="E7" s="1675"/>
    </row>
    <row r="8" spans="1:6" s="75" customFormat="1" ht="19.5" customHeight="1" thickBot="1">
      <c r="A8" s="78" t="s">
        <v>71</v>
      </c>
      <c r="B8" s="740" t="s">
        <v>198</v>
      </c>
      <c r="C8" s="772">
        <f>SUM(C9+C10+C14+C15+C16+C17+C18+C19+C20+C21)</f>
        <v>173077</v>
      </c>
      <c r="D8" s="323">
        <f>SUM(D9+D10+D14+D15+D16+D17+D18+D19+D20+D21)</f>
        <v>173077</v>
      </c>
      <c r="E8" s="289">
        <f>SUM(E9+E10+E14+E15+E16+E17+E18+E19+E20+E21)</f>
        <v>-1</v>
      </c>
      <c r="F8" s="290">
        <f>D8+E8</f>
        <v>173076</v>
      </c>
    </row>
    <row r="9" spans="1:6" s="75" customFormat="1" ht="17.25" customHeight="1">
      <c r="A9" s="736" t="s">
        <v>18</v>
      </c>
      <c r="B9" s="326" t="s">
        <v>199</v>
      </c>
      <c r="C9" s="773"/>
      <c r="D9" s="226"/>
      <c r="E9" s="762"/>
      <c r="F9" s="1226">
        <f t="shared" ref="F9:F51" si="0">D9+E9</f>
        <v>0</v>
      </c>
    </row>
    <row r="10" spans="1:6" s="75" customFormat="1" ht="17.25" customHeight="1">
      <c r="A10" s="733" t="s">
        <v>19</v>
      </c>
      <c r="B10" s="327" t="s">
        <v>200</v>
      </c>
      <c r="C10" s="774">
        <f>SUM(C11:C13)</f>
        <v>73350</v>
      </c>
      <c r="D10" s="387">
        <f>SUM(D11:D13)</f>
        <v>73350</v>
      </c>
      <c r="E10" s="897">
        <v>1655</v>
      </c>
      <c r="F10" s="1118">
        <f t="shared" si="0"/>
        <v>75005</v>
      </c>
    </row>
    <row r="11" spans="1:6" s="75" customFormat="1" ht="17.25" customHeight="1">
      <c r="A11" s="733" t="s">
        <v>57</v>
      </c>
      <c r="B11" s="742" t="s">
        <v>249</v>
      </c>
      <c r="C11" s="775">
        <v>4200</v>
      </c>
      <c r="D11" s="536">
        <v>4200</v>
      </c>
      <c r="E11" s="764">
        <v>1800</v>
      </c>
      <c r="F11" s="1118">
        <f t="shared" si="0"/>
        <v>6000</v>
      </c>
    </row>
    <row r="12" spans="1:6" s="75" customFormat="1" ht="17.25" customHeight="1">
      <c r="A12" s="733" t="s">
        <v>58</v>
      </c>
      <c r="B12" s="742" t="s">
        <v>250</v>
      </c>
      <c r="C12" s="775">
        <v>1350</v>
      </c>
      <c r="D12" s="536">
        <v>1350</v>
      </c>
      <c r="E12" s="764">
        <v>-145</v>
      </c>
      <c r="F12" s="1118">
        <f t="shared" si="0"/>
        <v>1205</v>
      </c>
    </row>
    <row r="13" spans="1:6" s="75" customFormat="1" ht="17.25" customHeight="1">
      <c r="A13" s="733" t="s">
        <v>248</v>
      </c>
      <c r="B13" s="742" t="s">
        <v>251</v>
      </c>
      <c r="C13" s="775">
        <v>67800</v>
      </c>
      <c r="D13" s="536">
        <v>67800</v>
      </c>
      <c r="E13" s="764"/>
      <c r="F13" s="1118">
        <f t="shared" si="0"/>
        <v>67800</v>
      </c>
    </row>
    <row r="14" spans="1:6" s="75" customFormat="1" ht="17.25" customHeight="1">
      <c r="A14" s="733" t="s">
        <v>20</v>
      </c>
      <c r="B14" s="327" t="s">
        <v>201</v>
      </c>
      <c r="C14" s="775">
        <v>11793</v>
      </c>
      <c r="D14" s="536">
        <v>11793</v>
      </c>
      <c r="E14" s="765">
        <v>145</v>
      </c>
      <c r="F14" s="1118">
        <f t="shared" si="0"/>
        <v>11938</v>
      </c>
    </row>
    <row r="15" spans="1:6" s="75" customFormat="1" ht="17.25" customHeight="1">
      <c r="A15" s="733" t="s">
        <v>21</v>
      </c>
      <c r="B15" s="327" t="s">
        <v>202</v>
      </c>
      <c r="C15" s="775"/>
      <c r="D15" s="536"/>
      <c r="E15" s="765"/>
      <c r="F15" s="1118">
        <f t="shared" si="0"/>
        <v>0</v>
      </c>
    </row>
    <row r="16" spans="1:6" s="75" customFormat="1" ht="17.25" customHeight="1">
      <c r="A16" s="733" t="s">
        <v>36</v>
      </c>
      <c r="B16" s="327" t="s">
        <v>203</v>
      </c>
      <c r="C16" s="775">
        <v>51500</v>
      </c>
      <c r="D16" s="536">
        <v>51500</v>
      </c>
      <c r="E16" s="765">
        <v>-2321</v>
      </c>
      <c r="F16" s="1118">
        <f t="shared" si="0"/>
        <v>49179</v>
      </c>
    </row>
    <row r="17" spans="1:6" s="75" customFormat="1" ht="17.25" customHeight="1">
      <c r="A17" s="733" t="s">
        <v>22</v>
      </c>
      <c r="B17" s="327" t="s">
        <v>204</v>
      </c>
      <c r="C17" s="775">
        <v>35778</v>
      </c>
      <c r="D17" s="536">
        <v>35778</v>
      </c>
      <c r="E17" s="765"/>
      <c r="F17" s="1118">
        <f t="shared" si="0"/>
        <v>35778</v>
      </c>
    </row>
    <row r="18" spans="1:6" s="75" customFormat="1" ht="17.25" customHeight="1">
      <c r="A18" s="733" t="s">
        <v>23</v>
      </c>
      <c r="B18" s="743" t="s">
        <v>205</v>
      </c>
      <c r="C18" s="775">
        <v>500</v>
      </c>
      <c r="D18" s="536">
        <v>500</v>
      </c>
      <c r="E18" s="765"/>
      <c r="F18" s="1118">
        <f t="shared" si="0"/>
        <v>500</v>
      </c>
    </row>
    <row r="19" spans="1:6" s="75" customFormat="1" ht="17.25" customHeight="1">
      <c r="A19" s="733" t="s">
        <v>30</v>
      </c>
      <c r="B19" s="327" t="s">
        <v>206</v>
      </c>
      <c r="C19" s="775">
        <v>25</v>
      </c>
      <c r="D19" s="536">
        <v>25</v>
      </c>
      <c r="E19" s="766"/>
      <c r="F19" s="1118">
        <f t="shared" si="0"/>
        <v>25</v>
      </c>
    </row>
    <row r="20" spans="1:6" s="58" customFormat="1" ht="17.25" customHeight="1">
      <c r="A20" s="733" t="s">
        <v>31</v>
      </c>
      <c r="B20" s="327" t="s">
        <v>207</v>
      </c>
      <c r="C20" s="775"/>
      <c r="D20" s="536"/>
      <c r="E20" s="766"/>
      <c r="F20" s="1118">
        <f t="shared" si="0"/>
        <v>0</v>
      </c>
    </row>
    <row r="21" spans="1:6" s="58" customFormat="1" ht="17.25" customHeight="1" thickBot="1">
      <c r="A21" s="734" t="s">
        <v>32</v>
      </c>
      <c r="B21" s="743" t="s">
        <v>208</v>
      </c>
      <c r="C21" s="776">
        <v>131</v>
      </c>
      <c r="D21" s="538">
        <v>131</v>
      </c>
      <c r="E21" s="900">
        <v>520</v>
      </c>
      <c r="F21" s="1227">
        <f t="shared" si="0"/>
        <v>651</v>
      </c>
    </row>
    <row r="22" spans="1:6" s="75" customFormat="1" ht="17.25" customHeight="1" thickBot="1">
      <c r="A22" s="916" t="s">
        <v>72</v>
      </c>
      <c r="B22" s="1204" t="s">
        <v>209</v>
      </c>
      <c r="C22" s="1205">
        <f>SUM(C23:C25)</f>
        <v>0</v>
      </c>
      <c r="D22" s="1206">
        <f>SUM(D23:D25)</f>
        <v>18489</v>
      </c>
      <c r="E22" s="1206">
        <v>7167</v>
      </c>
      <c r="F22" s="1110">
        <f t="shared" si="0"/>
        <v>25656</v>
      </c>
    </row>
    <row r="23" spans="1:6" s="58" customFormat="1" ht="17.25" customHeight="1">
      <c r="A23" s="732" t="s">
        <v>24</v>
      </c>
      <c r="B23" s="741" t="s">
        <v>210</v>
      </c>
      <c r="C23" s="1207"/>
      <c r="D23" s="224"/>
      <c r="E23" s="313"/>
      <c r="F23" s="1117">
        <f t="shared" si="0"/>
        <v>0</v>
      </c>
    </row>
    <row r="24" spans="1:6" s="58" customFormat="1" ht="17.25" customHeight="1">
      <c r="A24" s="733" t="s">
        <v>25</v>
      </c>
      <c r="B24" s="327" t="s">
        <v>211</v>
      </c>
      <c r="C24" s="244"/>
      <c r="D24" s="223"/>
      <c r="E24" s="297"/>
      <c r="F24" s="1118">
        <f t="shared" si="0"/>
        <v>0</v>
      </c>
    </row>
    <row r="25" spans="1:6" s="58" customFormat="1" ht="17.25" customHeight="1">
      <c r="A25" s="733" t="s">
        <v>26</v>
      </c>
      <c r="B25" s="327" t="s">
        <v>212</v>
      </c>
      <c r="C25" s="248">
        <f>SUM(C26:C29)</f>
        <v>0</v>
      </c>
      <c r="D25" s="387">
        <f>SUM(D26:D29)</f>
        <v>18489</v>
      </c>
      <c r="E25" s="898">
        <v>7167</v>
      </c>
      <c r="F25" s="1118">
        <f t="shared" si="0"/>
        <v>25656</v>
      </c>
    </row>
    <row r="26" spans="1:6" s="58" customFormat="1" ht="17.25" customHeight="1">
      <c r="A26" s="733" t="s">
        <v>27</v>
      </c>
      <c r="B26" s="327" t="s">
        <v>236</v>
      </c>
      <c r="C26" s="244"/>
      <c r="D26" s="223"/>
      <c r="E26" s="297"/>
      <c r="F26" s="1118">
        <f t="shared" si="0"/>
        <v>0</v>
      </c>
    </row>
    <row r="27" spans="1:6" s="58" customFormat="1" ht="17.25" customHeight="1">
      <c r="A27" s="733" t="s">
        <v>28</v>
      </c>
      <c r="B27" s="744" t="s">
        <v>233</v>
      </c>
      <c r="C27" s="244"/>
      <c r="D27" s="388">
        <v>17905</v>
      </c>
      <c r="E27" s="297">
        <v>7166</v>
      </c>
      <c r="F27" s="1118">
        <f t="shared" si="0"/>
        <v>25071</v>
      </c>
    </row>
    <row r="28" spans="1:6" s="58" customFormat="1" ht="17.25" customHeight="1">
      <c r="A28" s="733" t="s">
        <v>33</v>
      </c>
      <c r="B28" s="744" t="s">
        <v>234</v>
      </c>
      <c r="C28" s="244"/>
      <c r="D28" s="223"/>
      <c r="E28" s="297"/>
      <c r="F28" s="1118">
        <f t="shared" si="0"/>
        <v>0</v>
      </c>
    </row>
    <row r="29" spans="1:6" s="58" customFormat="1" ht="17.25" customHeight="1" thickBot="1">
      <c r="A29" s="1208" t="s">
        <v>34</v>
      </c>
      <c r="B29" s="1209" t="s">
        <v>235</v>
      </c>
      <c r="C29" s="1210"/>
      <c r="D29" s="1211">
        <v>584</v>
      </c>
      <c r="E29" s="506">
        <v>1</v>
      </c>
      <c r="F29" s="1123">
        <f t="shared" si="0"/>
        <v>585</v>
      </c>
    </row>
    <row r="30" spans="1:6" s="58" customFormat="1" ht="17.25" customHeight="1" thickBot="1">
      <c r="A30" s="738" t="s">
        <v>73</v>
      </c>
      <c r="B30" s="751" t="s">
        <v>41</v>
      </c>
      <c r="C30" s="259"/>
      <c r="D30" s="1212"/>
      <c r="E30" s="1213"/>
      <c r="F30" s="1127">
        <f t="shared" si="0"/>
        <v>0</v>
      </c>
    </row>
    <row r="31" spans="1:6" s="58" customFormat="1" ht="17.25" customHeight="1" thickBot="1">
      <c r="A31" s="41" t="s">
        <v>74</v>
      </c>
      <c r="B31" s="42" t="s">
        <v>213</v>
      </c>
      <c r="C31" s="250">
        <f>+C32+C33</f>
        <v>0</v>
      </c>
      <c r="D31" s="250">
        <f>+D32+D33</f>
        <v>0</v>
      </c>
      <c r="E31" s="289">
        <f>+E32+E33</f>
        <v>0</v>
      </c>
      <c r="F31" s="290">
        <f t="shared" si="0"/>
        <v>0</v>
      </c>
    </row>
    <row r="32" spans="1:6" s="58" customFormat="1" ht="17.25" customHeight="1">
      <c r="A32" s="736" t="s">
        <v>9</v>
      </c>
      <c r="B32" s="747" t="s">
        <v>211</v>
      </c>
      <c r="C32" s="256"/>
      <c r="D32" s="251"/>
      <c r="E32" s="901"/>
      <c r="F32" s="1226">
        <f t="shared" si="0"/>
        <v>0</v>
      </c>
    </row>
    <row r="33" spans="1:6" s="58" customFormat="1" ht="17.25" customHeight="1">
      <c r="A33" s="736" t="s">
        <v>10</v>
      </c>
      <c r="B33" s="748" t="s">
        <v>214</v>
      </c>
      <c r="C33" s="248">
        <f>SUM(C34:C37)</f>
        <v>0</v>
      </c>
      <c r="D33" s="246">
        <f>SUM(D34:D37)</f>
        <v>0</v>
      </c>
      <c r="E33" s="934">
        <f>SUM(E34:E37)</f>
        <v>0</v>
      </c>
      <c r="F33" s="1118">
        <f t="shared" si="0"/>
        <v>0</v>
      </c>
    </row>
    <row r="34" spans="1:6" s="58" customFormat="1" ht="17.25" customHeight="1">
      <c r="A34" s="736" t="s">
        <v>215</v>
      </c>
      <c r="B34" s="327" t="s">
        <v>237</v>
      </c>
      <c r="C34" s="257"/>
      <c r="D34" s="223"/>
      <c r="E34" s="297"/>
      <c r="F34" s="1118">
        <f t="shared" si="0"/>
        <v>0</v>
      </c>
    </row>
    <row r="35" spans="1:6" s="58" customFormat="1" ht="17.25" customHeight="1">
      <c r="A35" s="736" t="s">
        <v>238</v>
      </c>
      <c r="B35" s="744" t="s">
        <v>233</v>
      </c>
      <c r="C35" s="257"/>
      <c r="D35" s="223"/>
      <c r="E35" s="297"/>
      <c r="F35" s="1118">
        <f t="shared" si="0"/>
        <v>0</v>
      </c>
    </row>
    <row r="36" spans="1:6" s="58" customFormat="1" ht="17.25" customHeight="1">
      <c r="A36" s="736" t="s">
        <v>239</v>
      </c>
      <c r="B36" s="744" t="s">
        <v>234</v>
      </c>
      <c r="C36" s="257"/>
      <c r="D36" s="223"/>
      <c r="E36" s="297"/>
      <c r="F36" s="1118">
        <f t="shared" si="0"/>
        <v>0</v>
      </c>
    </row>
    <row r="37" spans="1:6" s="58" customFormat="1" ht="17.25" customHeight="1" thickBot="1">
      <c r="A37" s="737" t="s">
        <v>240</v>
      </c>
      <c r="B37" s="745" t="s">
        <v>235</v>
      </c>
      <c r="C37" s="258"/>
      <c r="D37" s="225"/>
      <c r="E37" s="305"/>
      <c r="F37" s="1227">
        <f t="shared" si="0"/>
        <v>0</v>
      </c>
    </row>
    <row r="38" spans="1:6" s="58" customFormat="1" ht="17.25" customHeight="1" thickBot="1">
      <c r="A38" s="735" t="s">
        <v>75</v>
      </c>
      <c r="B38" s="746" t="s">
        <v>216</v>
      </c>
      <c r="C38" s="249">
        <f>+C39+C40+C41</f>
        <v>0</v>
      </c>
      <c r="D38" s="250">
        <f>+D39+D40+D41</f>
        <v>0</v>
      </c>
      <c r="E38" s="289">
        <f>+E39+E40+E41</f>
        <v>0</v>
      </c>
      <c r="F38" s="290">
        <f t="shared" si="0"/>
        <v>0</v>
      </c>
    </row>
    <row r="39" spans="1:6" s="58" customFormat="1" ht="17.25" customHeight="1">
      <c r="A39" s="736" t="s">
        <v>11</v>
      </c>
      <c r="B39" s="747" t="s">
        <v>217</v>
      </c>
      <c r="C39" s="256"/>
      <c r="D39" s="251"/>
      <c r="E39" s="901"/>
      <c r="F39" s="1226">
        <f t="shared" si="0"/>
        <v>0</v>
      </c>
    </row>
    <row r="40" spans="1:6" s="58" customFormat="1" ht="17.25" customHeight="1">
      <c r="A40" s="736" t="s">
        <v>12</v>
      </c>
      <c r="B40" s="749" t="s">
        <v>218</v>
      </c>
      <c r="C40" s="257"/>
      <c r="D40" s="223"/>
      <c r="E40" s="297"/>
      <c r="F40" s="1118">
        <f t="shared" si="0"/>
        <v>0</v>
      </c>
    </row>
    <row r="41" spans="1:6" s="58" customFormat="1" ht="17.25" customHeight="1" thickBot="1">
      <c r="A41" s="734" t="s">
        <v>13</v>
      </c>
      <c r="B41" s="750" t="s">
        <v>219</v>
      </c>
      <c r="C41" s="258"/>
      <c r="D41" s="225"/>
      <c r="E41" s="305"/>
      <c r="F41" s="1227">
        <f t="shared" si="0"/>
        <v>0</v>
      </c>
    </row>
    <row r="42" spans="1:6" s="75" customFormat="1" ht="17.25" customHeight="1" thickBot="1">
      <c r="A42" s="735" t="s">
        <v>76</v>
      </c>
      <c r="B42" s="746" t="s">
        <v>220</v>
      </c>
      <c r="C42" s="255"/>
      <c r="D42" s="227"/>
      <c r="E42" s="308"/>
      <c r="F42" s="290">
        <f t="shared" si="0"/>
        <v>0</v>
      </c>
    </row>
    <row r="43" spans="1:6" s="75" customFormat="1" ht="17.25" customHeight="1" thickBot="1">
      <c r="A43" s="738" t="s">
        <v>77</v>
      </c>
      <c r="B43" s="751" t="s">
        <v>221</v>
      </c>
      <c r="C43" s="259"/>
      <c r="D43" s="254"/>
      <c r="E43" s="308"/>
      <c r="F43" s="290">
        <f t="shared" si="0"/>
        <v>0</v>
      </c>
    </row>
    <row r="44" spans="1:6" s="75" customFormat="1" ht="17.25" customHeight="1" thickBot="1">
      <c r="A44" s="78" t="s">
        <v>78</v>
      </c>
      <c r="B44" s="746" t="s">
        <v>222</v>
      </c>
      <c r="C44" s="540">
        <f>+C8+C22+C30+C31+C38+C42+C43</f>
        <v>173077</v>
      </c>
      <c r="D44" s="541">
        <f>+D8+D22+D30+D31+D38+D42+D43</f>
        <v>191566</v>
      </c>
      <c r="E44" s="288">
        <f>+E8+E22+E30+E31+E38+E42+E43</f>
        <v>7166</v>
      </c>
      <c r="F44" s="290">
        <f t="shared" si="0"/>
        <v>198732</v>
      </c>
    </row>
    <row r="45" spans="1:6" s="75" customFormat="1" ht="17.25" customHeight="1" thickBot="1">
      <c r="A45" s="739" t="s">
        <v>79</v>
      </c>
      <c r="B45" s="746" t="s">
        <v>223</v>
      </c>
      <c r="C45" s="540">
        <f>+C46+C47+C48</f>
        <v>185083</v>
      </c>
      <c r="D45" s="541">
        <f>+D46+D47+D48</f>
        <v>187182</v>
      </c>
      <c r="E45" s="541">
        <f>+E46+E47+E48</f>
        <v>-4008</v>
      </c>
      <c r="F45" s="290">
        <f t="shared" si="0"/>
        <v>183174</v>
      </c>
    </row>
    <row r="46" spans="1:6" s="75" customFormat="1" ht="17.25" customHeight="1">
      <c r="A46" s="732" t="s">
        <v>224</v>
      </c>
      <c r="B46" s="1218" t="s">
        <v>111</v>
      </c>
      <c r="C46" s="1219"/>
      <c r="D46" s="1220">
        <v>2650</v>
      </c>
      <c r="E46" s="1215"/>
      <c r="F46" s="1177">
        <f t="shared" si="0"/>
        <v>2650</v>
      </c>
    </row>
    <row r="47" spans="1:6" s="75" customFormat="1" ht="17.25" customHeight="1">
      <c r="A47" s="736" t="s">
        <v>225</v>
      </c>
      <c r="B47" s="749" t="s">
        <v>226</v>
      </c>
      <c r="C47" s="542"/>
      <c r="D47" s="530"/>
      <c r="E47" s="1216"/>
      <c r="F47" s="1176">
        <f t="shared" si="0"/>
        <v>0</v>
      </c>
    </row>
    <row r="48" spans="1:6" s="58" customFormat="1" ht="17.25" customHeight="1">
      <c r="A48" s="734" t="s">
        <v>227</v>
      </c>
      <c r="B48" s="749" t="s">
        <v>228</v>
      </c>
      <c r="C48" s="543">
        <f>SUM(C49:C50)</f>
        <v>185083</v>
      </c>
      <c r="D48" s="532">
        <f>SUM(D49:D50)</f>
        <v>184532</v>
      </c>
      <c r="E48" s="532">
        <f>SUM(E49:E50)</f>
        <v>-4008</v>
      </c>
      <c r="F48" s="1228">
        <f t="shared" si="0"/>
        <v>180524</v>
      </c>
    </row>
    <row r="49" spans="1:6" s="58" customFormat="1" ht="17.25" customHeight="1">
      <c r="A49" s="733" t="s">
        <v>241</v>
      </c>
      <c r="B49" s="752" t="s">
        <v>243</v>
      </c>
      <c r="C49" s="542">
        <f>32640+20680</f>
        <v>53320</v>
      </c>
      <c r="D49" s="534">
        <v>49362</v>
      </c>
      <c r="E49" s="1217">
        <v>-4008</v>
      </c>
      <c r="F49" s="1176">
        <f t="shared" si="0"/>
        <v>45354</v>
      </c>
    </row>
    <row r="50" spans="1:6" s="58" customFormat="1" ht="17.25" customHeight="1" thickBot="1">
      <c r="A50" s="1221" t="s">
        <v>242</v>
      </c>
      <c r="B50" s="1222" t="s">
        <v>244</v>
      </c>
      <c r="C50" s="1223">
        <f>152443-20680</f>
        <v>131763</v>
      </c>
      <c r="D50" s="759">
        <v>135170</v>
      </c>
      <c r="E50" s="1224"/>
      <c r="F50" s="1225">
        <f t="shared" si="0"/>
        <v>135170</v>
      </c>
    </row>
    <row r="51" spans="1:6" s="58" customFormat="1" ht="24" customHeight="1" thickBot="1">
      <c r="A51" s="739" t="s">
        <v>80</v>
      </c>
      <c r="B51" s="753" t="s">
        <v>229</v>
      </c>
      <c r="C51" s="544">
        <f>+C44+C45</f>
        <v>358160</v>
      </c>
      <c r="D51" s="545">
        <f>+D44+D45</f>
        <v>378748</v>
      </c>
      <c r="E51" s="545">
        <f>+E44+E45</f>
        <v>3158</v>
      </c>
      <c r="F51" s="290">
        <f t="shared" si="0"/>
        <v>381906</v>
      </c>
    </row>
    <row r="52" spans="1:6" ht="16.5" thickBot="1">
      <c r="A52" s="88"/>
      <c r="B52" s="89"/>
      <c r="C52" s="90"/>
      <c r="E52" s="938"/>
      <c r="F52" s="939"/>
    </row>
    <row r="53" spans="1:6" s="74" customFormat="1" ht="31.5" customHeight="1" thickBot="1">
      <c r="A53" s="78"/>
      <c r="B53" s="311" t="s">
        <v>2</v>
      </c>
      <c r="C53" s="202" t="s">
        <v>104</v>
      </c>
      <c r="D53" s="203" t="s">
        <v>558</v>
      </c>
      <c r="E53" s="895" t="s">
        <v>618</v>
      </c>
      <c r="F53" s="895" t="s">
        <v>471</v>
      </c>
    </row>
    <row r="54" spans="1:6" s="76" customFormat="1" ht="20.25" customHeight="1" thickBot="1">
      <c r="A54" s="78" t="s">
        <v>71</v>
      </c>
      <c r="B54" s="325" t="s">
        <v>230</v>
      </c>
      <c r="C54" s="389">
        <f>SUM(C55:C59)</f>
        <v>358160</v>
      </c>
      <c r="D54" s="234">
        <f>SUM(D55:D59)</f>
        <v>375604</v>
      </c>
      <c r="E54" s="234">
        <f>SUM(E55:E59)</f>
        <v>2915</v>
      </c>
      <c r="F54" s="1230">
        <f>D54+E54</f>
        <v>378519</v>
      </c>
    </row>
    <row r="55" spans="1:6" ht="20.25" customHeight="1">
      <c r="A55" s="1229" t="s">
        <v>18</v>
      </c>
      <c r="B55" s="326" t="s">
        <v>98</v>
      </c>
      <c r="C55" s="546">
        <v>95270</v>
      </c>
      <c r="D55" s="547">
        <v>115869</v>
      </c>
      <c r="E55" s="913">
        <v>6499</v>
      </c>
      <c r="F55" s="1239">
        <f t="shared" ref="F55:F64" si="1">D55+E55</f>
        <v>122368</v>
      </c>
    </row>
    <row r="56" spans="1:6" ht="20.25" customHeight="1">
      <c r="A56" s="324" t="s">
        <v>19</v>
      </c>
      <c r="B56" s="327" t="s">
        <v>53</v>
      </c>
      <c r="C56" s="548">
        <v>27762</v>
      </c>
      <c r="D56" s="512">
        <v>29117</v>
      </c>
      <c r="E56" s="912">
        <v>902</v>
      </c>
      <c r="F56" s="1236">
        <f t="shared" si="1"/>
        <v>30019</v>
      </c>
    </row>
    <row r="57" spans="1:6" ht="20.25" customHeight="1">
      <c r="A57" s="324" t="s">
        <v>20</v>
      </c>
      <c r="B57" s="327" t="s">
        <v>35</v>
      </c>
      <c r="C57" s="548">
        <v>235128</v>
      </c>
      <c r="D57" s="512">
        <v>230618</v>
      </c>
      <c r="E57" s="913">
        <v>-4486</v>
      </c>
      <c r="F57" s="1236">
        <f t="shared" si="1"/>
        <v>226132</v>
      </c>
    </row>
    <row r="58" spans="1:6" ht="20.25" customHeight="1">
      <c r="A58" s="324" t="s">
        <v>21</v>
      </c>
      <c r="B58" s="327" t="s">
        <v>54</v>
      </c>
      <c r="C58" s="392"/>
      <c r="D58" s="390"/>
      <c r="E58" s="513"/>
      <c r="F58" s="1236">
        <f t="shared" si="1"/>
        <v>0</v>
      </c>
    </row>
    <row r="59" spans="1:6" ht="20.25" customHeight="1" thickBot="1">
      <c r="A59" s="1231" t="s">
        <v>36</v>
      </c>
      <c r="B59" s="1232" t="s">
        <v>55</v>
      </c>
      <c r="C59" s="393"/>
      <c r="D59" s="391"/>
      <c r="E59" s="922"/>
      <c r="F59" s="1240">
        <f t="shared" si="1"/>
        <v>0</v>
      </c>
    </row>
    <row r="60" spans="1:6" ht="20.25" customHeight="1" thickBot="1">
      <c r="A60" s="735" t="s">
        <v>72</v>
      </c>
      <c r="B60" s="746" t="s">
        <v>231</v>
      </c>
      <c r="C60" s="1233">
        <f>SUM(C61:C63)</f>
        <v>0</v>
      </c>
      <c r="D60" s="380">
        <f>SUM(D61:D63)</f>
        <v>3144</v>
      </c>
      <c r="E60" s="260">
        <f>SUM(E61:E63)</f>
        <v>243</v>
      </c>
      <c r="F60" s="1230">
        <f t="shared" si="1"/>
        <v>3387</v>
      </c>
    </row>
    <row r="61" spans="1:6" s="76" customFormat="1" ht="20.25" customHeight="1">
      <c r="A61" s="1234" t="s">
        <v>24</v>
      </c>
      <c r="B61" s="741" t="s">
        <v>108</v>
      </c>
      <c r="C61" s="1207"/>
      <c r="D61" s="512">
        <v>3144</v>
      </c>
      <c r="E61" s="1238">
        <v>243</v>
      </c>
      <c r="F61" s="1235">
        <f t="shared" si="1"/>
        <v>3387</v>
      </c>
    </row>
    <row r="62" spans="1:6" ht="20.25" customHeight="1">
      <c r="A62" s="324" t="s">
        <v>25</v>
      </c>
      <c r="B62" s="327" t="s">
        <v>56</v>
      </c>
      <c r="C62" s="244"/>
      <c r="D62" s="221"/>
      <c r="E62" s="914"/>
      <c r="F62" s="1236">
        <f t="shared" si="1"/>
        <v>0</v>
      </c>
    </row>
    <row r="63" spans="1:6" ht="20.25" customHeight="1" thickBot="1">
      <c r="A63" s="324" t="s">
        <v>26</v>
      </c>
      <c r="B63" s="327" t="s">
        <v>3</v>
      </c>
      <c r="C63" s="245"/>
      <c r="D63" s="237"/>
      <c r="E63" s="925"/>
      <c r="F63" s="1170">
        <f t="shared" si="1"/>
        <v>0</v>
      </c>
    </row>
    <row r="64" spans="1:6" ht="26.25" customHeight="1" thickBot="1">
      <c r="A64" s="78" t="s">
        <v>73</v>
      </c>
      <c r="B64" s="940" t="s">
        <v>232</v>
      </c>
      <c r="C64" s="389">
        <f>+C54+C60</f>
        <v>358160</v>
      </c>
      <c r="D64" s="234">
        <f>+D54+D60</f>
        <v>378748</v>
      </c>
      <c r="E64" s="286">
        <f>+E54+E60</f>
        <v>3158</v>
      </c>
      <c r="F64" s="1237">
        <f t="shared" si="1"/>
        <v>381906</v>
      </c>
    </row>
    <row r="65" spans="1:6" ht="15.75" customHeight="1" thickBot="1">
      <c r="A65" s="88"/>
      <c r="B65" s="241"/>
      <c r="C65" s="275"/>
      <c r="D65" s="242"/>
    </row>
    <row r="66" spans="1:6" ht="20.25" customHeight="1" thickBot="1">
      <c r="A66" s="1668" t="s">
        <v>60</v>
      </c>
      <c r="B66" s="1680"/>
      <c r="C66" s="49">
        <v>53</v>
      </c>
      <c r="D66" s="1277">
        <v>53</v>
      </c>
      <c r="E66" s="1278">
        <v>1</v>
      </c>
      <c r="F66" s="1279">
        <f>D66+E66</f>
        <v>54</v>
      </c>
    </row>
    <row r="67" spans="1:6" ht="20.25" customHeight="1" thickBot="1">
      <c r="A67" s="1668" t="s">
        <v>643</v>
      </c>
      <c r="B67" s="1680"/>
      <c r="C67" s="49">
        <v>80</v>
      </c>
      <c r="D67" s="1277">
        <v>80</v>
      </c>
      <c r="E67" s="1280"/>
      <c r="F67" s="1279">
        <f>D67+E67</f>
        <v>80</v>
      </c>
    </row>
    <row r="68" spans="1:6">
      <c r="F68" s="242"/>
    </row>
  </sheetData>
  <sheetProtection formatCells="0"/>
  <mergeCells count="6">
    <mergeCell ref="A2:A3"/>
    <mergeCell ref="B2:B3"/>
    <mergeCell ref="A7:E7"/>
    <mergeCell ref="C2:F3"/>
    <mergeCell ref="A66:B66"/>
    <mergeCell ref="A67:B67"/>
  </mergeCells>
  <printOptions horizontalCentered="1"/>
  <pageMargins left="0.19685039370078741" right="0.19685039370078741" top="0.78740157480314965" bottom="0.39370078740157483" header="0.59055118110236227" footer="0.78740157480314965"/>
  <pageSetup paperSize="9" scale="58" orientation="portrait" verticalDpi="300" r:id="rId1"/>
  <headerFooter alignWithMargins="0">
    <oddHeader>&amp;R&amp;"Times New Roman CE,Dőlt"&amp;14 11 melléklet a ..../2014. (...)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67"/>
  <sheetViews>
    <sheetView topLeftCell="B49" zoomScale="93" zoomScaleNormal="93" workbookViewId="0">
      <selection activeCell="C78" sqref="C78"/>
    </sheetView>
  </sheetViews>
  <sheetFormatPr defaultRowHeight="12.75"/>
  <cols>
    <col min="1" max="1" width="13.83203125" style="77" customWidth="1"/>
    <col min="2" max="2" width="82.33203125" style="73" customWidth="1"/>
    <col min="3" max="3" width="20.1640625" style="73" customWidth="1"/>
    <col min="4" max="4" width="17" style="73" customWidth="1"/>
    <col min="5" max="5" width="19.1640625" style="73" customWidth="1"/>
    <col min="6" max="6" width="17.1640625" style="73" customWidth="1"/>
    <col min="7" max="16384" width="9.33203125" style="73"/>
  </cols>
  <sheetData>
    <row r="1" spans="1:6" s="70" customFormat="1" ht="24" customHeight="1">
      <c r="A1" s="1599"/>
      <c r="B1" s="1666" t="s">
        <v>117</v>
      </c>
      <c r="C1" s="1660" t="s">
        <v>245</v>
      </c>
      <c r="D1" s="1661"/>
      <c r="E1" s="1661"/>
      <c r="F1" s="1662"/>
    </row>
    <row r="2" spans="1:6" s="70" customFormat="1" ht="16.5" thickBot="1">
      <c r="A2" s="1600"/>
      <c r="B2" s="1667"/>
      <c r="C2" s="1663"/>
      <c r="D2" s="1664"/>
      <c r="E2" s="1664"/>
      <c r="F2" s="1665"/>
    </row>
    <row r="3" spans="1:6" s="72" customFormat="1" ht="16.5" customHeight="1" thickBot="1">
      <c r="A3" s="70"/>
      <c r="B3" s="70"/>
      <c r="F3" s="71" t="s">
        <v>106</v>
      </c>
    </row>
    <row r="4" spans="1:6" ht="33.75" customHeight="1" thickBot="1">
      <c r="A4" s="78" t="s">
        <v>59</v>
      </c>
      <c r="B4" s="79" t="s">
        <v>0</v>
      </c>
      <c r="C4" s="202" t="s">
        <v>104</v>
      </c>
      <c r="D4" s="203" t="s">
        <v>558</v>
      </c>
      <c r="E4" s="895" t="s">
        <v>618</v>
      </c>
      <c r="F4" s="895" t="s">
        <v>471</v>
      </c>
    </row>
    <row r="5" spans="1:6" s="74" customFormat="1" ht="14.25" customHeight="1" thickBot="1">
      <c r="A5" s="230">
        <v>1</v>
      </c>
      <c r="B5" s="231">
        <v>2</v>
      </c>
      <c r="C5" s="232">
        <v>3</v>
      </c>
      <c r="D5" s="230">
        <v>4</v>
      </c>
      <c r="E5" s="731">
        <v>5</v>
      </c>
      <c r="F5" s="731">
        <v>6</v>
      </c>
    </row>
    <row r="6" spans="1:6" s="74" customFormat="1" ht="22.5" customHeight="1" thickBot="1">
      <c r="A6" s="1672" t="s">
        <v>1</v>
      </c>
      <c r="B6" s="1659"/>
      <c r="C6" s="1659"/>
      <c r="D6" s="1659"/>
      <c r="E6" s="1659"/>
      <c r="F6" s="1659"/>
    </row>
    <row r="7" spans="1:6" s="75" customFormat="1" ht="19.5" customHeight="1" thickBot="1">
      <c r="A7" s="37" t="s">
        <v>71</v>
      </c>
      <c r="B7" s="38" t="s">
        <v>198</v>
      </c>
      <c r="C7" s="250">
        <f>SUM(C8+C9+C13+C14+C15+C16+C17+C18+C19+C20)</f>
        <v>26288</v>
      </c>
      <c r="D7" s="250">
        <f>SUM(D8+D9+D13+D14+D15+D16+D17+D18+D19+D20)</f>
        <v>27364</v>
      </c>
      <c r="E7" s="289">
        <f>SUM(E8+E9+E13+E14+E15+E16+E17+E18+E19+E20)</f>
        <v>0</v>
      </c>
      <c r="F7" s="290">
        <f>SUM(F8+F9+F13+F14+F15+F16+F17+F18+F19+F20)</f>
        <v>27364</v>
      </c>
    </row>
    <row r="8" spans="1:6" s="75" customFormat="1" ht="19.5" customHeight="1">
      <c r="A8" s="84" t="s">
        <v>18</v>
      </c>
      <c r="B8" s="39" t="s">
        <v>199</v>
      </c>
      <c r="C8" s="271"/>
      <c r="D8" s="226"/>
      <c r="E8" s="762"/>
      <c r="F8" s="1242">
        <f>D8+E8</f>
        <v>0</v>
      </c>
    </row>
    <row r="9" spans="1:6" s="75" customFormat="1" ht="19.5" customHeight="1">
      <c r="A9" s="82" t="s">
        <v>19</v>
      </c>
      <c r="B9" s="40" t="s">
        <v>200</v>
      </c>
      <c r="C9" s="533">
        <f>SUM(C10:C12)</f>
        <v>14282</v>
      </c>
      <c r="D9" s="533">
        <f>SUM(D10:D12)</f>
        <v>15358</v>
      </c>
      <c r="E9" s="1372">
        <f>SUM(E10:E12)</f>
        <v>0</v>
      </c>
      <c r="F9" s="1174">
        <f t="shared" ref="F9:F51" si="0">D9+E9</f>
        <v>15358</v>
      </c>
    </row>
    <row r="10" spans="1:6" s="75" customFormat="1" ht="19.5" customHeight="1">
      <c r="A10" s="82" t="s">
        <v>57</v>
      </c>
      <c r="B10" s="515" t="s">
        <v>249</v>
      </c>
      <c r="C10" s="1490"/>
      <c r="D10" s="1491"/>
      <c r="E10" s="1492"/>
      <c r="F10" s="1290">
        <f t="shared" si="0"/>
        <v>0</v>
      </c>
    </row>
    <row r="11" spans="1:6" s="75" customFormat="1" ht="19.5" customHeight="1">
      <c r="A11" s="82" t="s">
        <v>58</v>
      </c>
      <c r="B11" s="515" t="s">
        <v>250</v>
      </c>
      <c r="C11" s="1490">
        <v>7609</v>
      </c>
      <c r="D11" s="1491">
        <v>7609</v>
      </c>
      <c r="E11" s="1492"/>
      <c r="F11" s="1290">
        <f t="shared" si="0"/>
        <v>7609</v>
      </c>
    </row>
    <row r="12" spans="1:6" s="75" customFormat="1" ht="19.5" customHeight="1">
      <c r="A12" s="82" t="s">
        <v>248</v>
      </c>
      <c r="B12" s="515" t="s">
        <v>251</v>
      </c>
      <c r="C12" s="1490">
        <v>6673</v>
      </c>
      <c r="D12" s="1491">
        <v>7749</v>
      </c>
      <c r="E12" s="1492"/>
      <c r="F12" s="1290">
        <f t="shared" si="0"/>
        <v>7749</v>
      </c>
    </row>
    <row r="13" spans="1:6" s="75" customFormat="1" ht="19.5" customHeight="1">
      <c r="A13" s="82" t="s">
        <v>20</v>
      </c>
      <c r="B13" s="40" t="s">
        <v>201</v>
      </c>
      <c r="C13" s="535">
        <v>8682</v>
      </c>
      <c r="D13" s="536">
        <v>8682</v>
      </c>
      <c r="E13" s="1241"/>
      <c r="F13" s="1174">
        <f t="shared" si="0"/>
        <v>8682</v>
      </c>
    </row>
    <row r="14" spans="1:6" s="75" customFormat="1" ht="19.5" customHeight="1">
      <c r="A14" s="82" t="s">
        <v>21</v>
      </c>
      <c r="B14" s="40" t="s">
        <v>202</v>
      </c>
      <c r="C14" s="535"/>
      <c r="D14" s="536"/>
      <c r="E14" s="765"/>
      <c r="F14" s="1174">
        <f t="shared" si="0"/>
        <v>0</v>
      </c>
    </row>
    <row r="15" spans="1:6" s="75" customFormat="1" ht="19.5" customHeight="1">
      <c r="A15" s="82" t="s">
        <v>36</v>
      </c>
      <c r="B15" s="40" t="s">
        <v>203</v>
      </c>
      <c r="C15" s="535"/>
      <c r="D15" s="536"/>
      <c r="E15" s="765"/>
      <c r="F15" s="1174">
        <f t="shared" si="0"/>
        <v>0</v>
      </c>
    </row>
    <row r="16" spans="1:6" s="75" customFormat="1" ht="19.5" customHeight="1">
      <c r="A16" s="82" t="s">
        <v>22</v>
      </c>
      <c r="B16" s="40" t="s">
        <v>204</v>
      </c>
      <c r="C16" s="535">
        <v>2344</v>
      </c>
      <c r="D16" s="536">
        <v>2344</v>
      </c>
      <c r="E16" s="765"/>
      <c r="F16" s="1174">
        <f t="shared" si="0"/>
        <v>2344</v>
      </c>
    </row>
    <row r="17" spans="1:6" s="75" customFormat="1" ht="19.5" customHeight="1">
      <c r="A17" s="82" t="s">
        <v>23</v>
      </c>
      <c r="B17" s="40" t="s">
        <v>205</v>
      </c>
      <c r="C17" s="535"/>
      <c r="D17" s="536"/>
      <c r="E17" s="765"/>
      <c r="F17" s="1174">
        <f t="shared" si="0"/>
        <v>0</v>
      </c>
    </row>
    <row r="18" spans="1:6" s="75" customFormat="1" ht="19.5" customHeight="1">
      <c r="A18" s="82" t="s">
        <v>30</v>
      </c>
      <c r="B18" s="40" t="s">
        <v>206</v>
      </c>
      <c r="C18" s="535">
        <v>20</v>
      </c>
      <c r="D18" s="536">
        <v>20</v>
      </c>
      <c r="E18" s="766"/>
      <c r="F18" s="1174">
        <f t="shared" si="0"/>
        <v>20</v>
      </c>
    </row>
    <row r="19" spans="1:6" s="58" customFormat="1" ht="19.5" customHeight="1">
      <c r="A19" s="82" t="s">
        <v>31</v>
      </c>
      <c r="B19" s="40" t="s">
        <v>207</v>
      </c>
      <c r="C19" s="535"/>
      <c r="D19" s="536"/>
      <c r="E19" s="766"/>
      <c r="F19" s="1174">
        <f t="shared" si="0"/>
        <v>0</v>
      </c>
    </row>
    <row r="20" spans="1:6" s="58" customFormat="1" ht="19.5" customHeight="1" thickBot="1">
      <c r="A20" s="85" t="s">
        <v>32</v>
      </c>
      <c r="B20" s="236" t="s">
        <v>208</v>
      </c>
      <c r="C20" s="537">
        <v>960</v>
      </c>
      <c r="D20" s="538">
        <v>960</v>
      </c>
      <c r="E20" s="900"/>
      <c r="F20" s="1291">
        <f t="shared" si="0"/>
        <v>960</v>
      </c>
    </row>
    <row r="21" spans="1:6" s="75" customFormat="1" ht="19.5" customHeight="1" thickBot="1">
      <c r="A21" s="37" t="s">
        <v>72</v>
      </c>
      <c r="B21" s="38" t="s">
        <v>209</v>
      </c>
      <c r="C21" s="323">
        <f>SUM(C22:C24)</f>
        <v>206180</v>
      </c>
      <c r="D21" s="323">
        <f>SUM(D22:D24)</f>
        <v>210378</v>
      </c>
      <c r="E21" s="289">
        <f>SUM(E22:E24)</f>
        <v>0</v>
      </c>
      <c r="F21" s="1245">
        <f t="shared" si="0"/>
        <v>210378</v>
      </c>
    </row>
    <row r="22" spans="1:6" s="58" customFormat="1" ht="19.5" customHeight="1">
      <c r="A22" s="732" t="s">
        <v>24</v>
      </c>
      <c r="B22" s="1292" t="s">
        <v>210</v>
      </c>
      <c r="C22" s="394"/>
      <c r="D22" s="224"/>
      <c r="E22" s="313"/>
      <c r="F22" s="1287">
        <f t="shared" si="0"/>
        <v>0</v>
      </c>
    </row>
    <row r="23" spans="1:6" s="58" customFormat="1" ht="19.5" customHeight="1">
      <c r="A23" s="733" t="s">
        <v>25</v>
      </c>
      <c r="B23" s="1293" t="s">
        <v>211</v>
      </c>
      <c r="C23" s="386"/>
      <c r="D23" s="223"/>
      <c r="E23" s="297"/>
      <c r="F23" s="1242">
        <f t="shared" si="0"/>
        <v>0</v>
      </c>
    </row>
    <row r="24" spans="1:6" s="58" customFormat="1" ht="19.5" customHeight="1">
      <c r="A24" s="733" t="s">
        <v>26</v>
      </c>
      <c r="B24" s="1293" t="s">
        <v>212</v>
      </c>
      <c r="C24" s="387">
        <f>SUM(C25:C29)</f>
        <v>206180</v>
      </c>
      <c r="D24" s="387">
        <f>SUM(D25:D29)</f>
        <v>210378</v>
      </c>
      <c r="E24" s="387">
        <f>SUM(E25:E29)</f>
        <v>0</v>
      </c>
      <c r="F24" s="1294">
        <f>SUM(F25:F29)</f>
        <v>210378</v>
      </c>
    </row>
    <row r="25" spans="1:6" s="58" customFormat="1" ht="19.5" customHeight="1">
      <c r="A25" s="733" t="s">
        <v>27</v>
      </c>
      <c r="B25" s="1293" t="s">
        <v>236</v>
      </c>
      <c r="C25" s="539">
        <v>2590</v>
      </c>
      <c r="D25" s="520">
        <v>2590</v>
      </c>
      <c r="E25" s="297"/>
      <c r="F25" s="1242">
        <f t="shared" si="0"/>
        <v>2590</v>
      </c>
    </row>
    <row r="26" spans="1:6" s="58" customFormat="1" ht="17.25" customHeight="1">
      <c r="A26" s="733" t="s">
        <v>28</v>
      </c>
      <c r="B26" s="1295" t="s">
        <v>233</v>
      </c>
      <c r="C26" s="539"/>
      <c r="D26" s="520">
        <v>1145</v>
      </c>
      <c r="E26" s="297"/>
      <c r="F26" s="1242">
        <f t="shared" si="0"/>
        <v>1145</v>
      </c>
    </row>
    <row r="27" spans="1:6" s="58" customFormat="1" ht="17.25" customHeight="1">
      <c r="A27" s="733" t="s">
        <v>33</v>
      </c>
      <c r="B27" s="1295" t="s">
        <v>234</v>
      </c>
      <c r="C27" s="539">
        <v>203590</v>
      </c>
      <c r="D27" s="520">
        <v>203590</v>
      </c>
      <c r="E27" s="297"/>
      <c r="F27" s="1242">
        <f t="shared" si="0"/>
        <v>203590</v>
      </c>
    </row>
    <row r="28" spans="1:6" s="58" customFormat="1" ht="17.25" customHeight="1">
      <c r="A28" s="733" t="s">
        <v>34</v>
      </c>
      <c r="B28" s="1295" t="s">
        <v>235</v>
      </c>
      <c r="C28" s="539"/>
      <c r="D28" s="520"/>
      <c r="E28" s="505"/>
      <c r="F28" s="1242">
        <f t="shared" si="0"/>
        <v>0</v>
      </c>
    </row>
    <row r="29" spans="1:6" s="58" customFormat="1" ht="17.25" customHeight="1" thickBot="1">
      <c r="A29" s="1221" t="s">
        <v>579</v>
      </c>
      <c r="B29" s="1296" t="s">
        <v>580</v>
      </c>
      <c r="C29" s="656"/>
      <c r="D29" s="657">
        <v>3053</v>
      </c>
      <c r="E29" s="937"/>
      <c r="F29" s="1289">
        <f t="shared" si="0"/>
        <v>3053</v>
      </c>
    </row>
    <row r="30" spans="1:6" s="58" customFormat="1" ht="17.25" customHeight="1" thickBot="1">
      <c r="A30" s="41" t="s">
        <v>73</v>
      </c>
      <c r="B30" s="42" t="s">
        <v>41</v>
      </c>
      <c r="C30" s="253"/>
      <c r="D30" s="253"/>
      <c r="E30" s="289">
        <f>+E31+E32</f>
        <v>0</v>
      </c>
      <c r="F30" s="1246">
        <f t="shared" si="0"/>
        <v>0</v>
      </c>
    </row>
    <row r="31" spans="1:6" s="58" customFormat="1" ht="17.25" customHeight="1" thickBot="1">
      <c r="A31" s="41" t="s">
        <v>74</v>
      </c>
      <c r="B31" s="42" t="s">
        <v>213</v>
      </c>
      <c r="C31" s="250">
        <f>+C32+C33</f>
        <v>0</v>
      </c>
      <c r="D31" s="250">
        <f>+D32+D33</f>
        <v>176</v>
      </c>
      <c r="E31" s="250">
        <f>+E32+E33</f>
        <v>0</v>
      </c>
      <c r="F31" s="1245">
        <f t="shared" si="0"/>
        <v>176</v>
      </c>
    </row>
    <row r="32" spans="1:6" s="58" customFormat="1" ht="17.25" customHeight="1">
      <c r="A32" s="84" t="s">
        <v>9</v>
      </c>
      <c r="B32" s="43" t="s">
        <v>211</v>
      </c>
      <c r="C32" s="273"/>
      <c r="D32" s="251"/>
      <c r="E32" s="934">
        <f>SUM(E33:E36)</f>
        <v>0</v>
      </c>
      <c r="F32" s="1242">
        <f t="shared" si="0"/>
        <v>0</v>
      </c>
    </row>
    <row r="33" spans="1:6" s="58" customFormat="1" ht="17.25" customHeight="1">
      <c r="A33" s="82" t="s">
        <v>10</v>
      </c>
      <c r="B33" s="47" t="s">
        <v>214</v>
      </c>
      <c r="C33" s="252">
        <f>SUM(C34:C37)</f>
        <v>0</v>
      </c>
      <c r="D33" s="252">
        <v>176</v>
      </c>
      <c r="E33" s="297"/>
      <c r="F33" s="1242">
        <f t="shared" si="0"/>
        <v>176</v>
      </c>
    </row>
    <row r="34" spans="1:6" s="58" customFormat="1" ht="17.25" customHeight="1">
      <c r="A34" s="82" t="s">
        <v>215</v>
      </c>
      <c r="B34" s="40" t="s">
        <v>237</v>
      </c>
      <c r="C34" s="246"/>
      <c r="D34" s="223"/>
      <c r="E34" s="297"/>
      <c r="F34" s="1242">
        <f t="shared" si="0"/>
        <v>0</v>
      </c>
    </row>
    <row r="35" spans="1:6" s="58" customFormat="1" ht="17.25" customHeight="1">
      <c r="A35" s="82" t="s">
        <v>238</v>
      </c>
      <c r="B35" s="83" t="s">
        <v>233</v>
      </c>
      <c r="C35" s="246"/>
      <c r="D35" s="223"/>
      <c r="E35" s="297"/>
      <c r="F35" s="1073">
        <f t="shared" si="0"/>
        <v>0</v>
      </c>
    </row>
    <row r="36" spans="1:6" s="58" customFormat="1" ht="17.25" customHeight="1">
      <c r="A36" s="82" t="s">
        <v>239</v>
      </c>
      <c r="B36" s="83" t="s">
        <v>234</v>
      </c>
      <c r="C36" s="246"/>
      <c r="D36" s="223"/>
      <c r="E36" s="305"/>
      <c r="F36" s="1073">
        <f t="shared" si="0"/>
        <v>0</v>
      </c>
    </row>
    <row r="37" spans="1:6" s="58" customFormat="1" ht="17.25" customHeight="1" thickBot="1">
      <c r="A37" s="85" t="s">
        <v>240</v>
      </c>
      <c r="B37" s="902" t="s">
        <v>235</v>
      </c>
      <c r="C37" s="1248"/>
      <c r="D37" s="225"/>
      <c r="E37" s="1203">
        <f>+E38+E39+E40</f>
        <v>0</v>
      </c>
      <c r="F37" s="1249">
        <f t="shared" si="0"/>
        <v>0</v>
      </c>
    </row>
    <row r="38" spans="1:6" s="58" customFormat="1" ht="17.25" customHeight="1" thickBot="1">
      <c r="A38" s="41" t="s">
        <v>75</v>
      </c>
      <c r="B38" s="42" t="s">
        <v>216</v>
      </c>
      <c r="C38" s="250">
        <f>+C39+C40+C41</f>
        <v>0</v>
      </c>
      <c r="D38" s="250">
        <f>+D39+D40+D41</f>
        <v>230</v>
      </c>
      <c r="E38" s="250">
        <f>+E39+E40+E41</f>
        <v>0</v>
      </c>
      <c r="F38" s="1230">
        <f t="shared" si="0"/>
        <v>230</v>
      </c>
    </row>
    <row r="39" spans="1:6" s="58" customFormat="1" ht="17.25" customHeight="1">
      <c r="A39" s="84" t="s">
        <v>11</v>
      </c>
      <c r="B39" s="43" t="s">
        <v>217</v>
      </c>
      <c r="C39" s="273"/>
      <c r="D39" s="251"/>
      <c r="E39" s="901"/>
      <c r="F39" s="1242">
        <f t="shared" si="0"/>
        <v>0</v>
      </c>
    </row>
    <row r="40" spans="1:6" s="58" customFormat="1" ht="17.25" customHeight="1">
      <c r="A40" s="82" t="s">
        <v>12</v>
      </c>
      <c r="B40" s="47" t="s">
        <v>218</v>
      </c>
      <c r="C40" s="252"/>
      <c r="D40" s="223"/>
      <c r="E40" s="297"/>
      <c r="F40" s="1242">
        <f t="shared" si="0"/>
        <v>0</v>
      </c>
    </row>
    <row r="41" spans="1:6" s="58" customFormat="1" ht="17.25" customHeight="1" thickBot="1">
      <c r="A41" s="85" t="s">
        <v>13</v>
      </c>
      <c r="B41" s="44" t="s">
        <v>219</v>
      </c>
      <c r="C41" s="935"/>
      <c r="D41" s="225">
        <v>230</v>
      </c>
      <c r="E41" s="908"/>
      <c r="F41" s="1244">
        <f t="shared" si="0"/>
        <v>230</v>
      </c>
    </row>
    <row r="42" spans="1:6" s="75" customFormat="1" ht="17.25" customHeight="1" thickBot="1">
      <c r="A42" s="41" t="s">
        <v>76</v>
      </c>
      <c r="B42" s="42" t="s">
        <v>220</v>
      </c>
      <c r="C42" s="253"/>
      <c r="D42" s="253"/>
      <c r="E42" s="308"/>
      <c r="F42" s="1246">
        <f t="shared" si="0"/>
        <v>0</v>
      </c>
    </row>
    <row r="43" spans="1:6" s="75" customFormat="1" ht="17.25" customHeight="1" thickBot="1">
      <c r="A43" s="41" t="s">
        <v>77</v>
      </c>
      <c r="B43" s="42" t="s">
        <v>221</v>
      </c>
      <c r="C43" s="253"/>
      <c r="D43" s="227"/>
      <c r="E43" s="288"/>
      <c r="F43" s="1246">
        <f t="shared" si="0"/>
        <v>0</v>
      </c>
    </row>
    <row r="44" spans="1:6" s="75" customFormat="1" ht="17.25" customHeight="1" thickBot="1">
      <c r="A44" s="37" t="s">
        <v>78</v>
      </c>
      <c r="B44" s="42" t="s">
        <v>222</v>
      </c>
      <c r="C44" s="323">
        <f>+C7+C21+C30+C31+C38+C42+C43</f>
        <v>232468</v>
      </c>
      <c r="D44" s="323">
        <f>+D7+D21+D30+D31+D38+D42+D43</f>
        <v>238148</v>
      </c>
      <c r="E44" s="323">
        <f>+E7+E21+E30+E31+E38+E42+E43</f>
        <v>0</v>
      </c>
      <c r="F44" s="1245">
        <f t="shared" si="0"/>
        <v>238148</v>
      </c>
    </row>
    <row r="45" spans="1:6" s="75" customFormat="1" ht="17.25" customHeight="1" thickBot="1">
      <c r="A45" s="45" t="s">
        <v>79</v>
      </c>
      <c r="B45" s="42" t="s">
        <v>223</v>
      </c>
      <c r="C45" s="323">
        <f>+C46+C47+C48</f>
        <v>20905</v>
      </c>
      <c r="D45" s="323">
        <f>+D46+D47+D48</f>
        <v>26180</v>
      </c>
      <c r="E45" s="323">
        <f>+E46+E47+E48</f>
        <v>394</v>
      </c>
      <c r="F45" s="1245">
        <f t="shared" si="0"/>
        <v>26574</v>
      </c>
    </row>
    <row r="46" spans="1:6" s="75" customFormat="1" ht="19.5" customHeight="1">
      <c r="A46" s="81" t="s">
        <v>224</v>
      </c>
      <c r="B46" s="228" t="s">
        <v>111</v>
      </c>
      <c r="C46" s="423"/>
      <c r="D46" s="1286">
        <v>1610</v>
      </c>
      <c r="E46" s="500"/>
      <c r="F46" s="1287">
        <f t="shared" si="0"/>
        <v>1610</v>
      </c>
    </row>
    <row r="47" spans="1:6" s="75" customFormat="1" ht="19.5" customHeight="1">
      <c r="A47" s="82" t="s">
        <v>225</v>
      </c>
      <c r="B47" s="47" t="s">
        <v>226</v>
      </c>
      <c r="C47" s="377"/>
      <c r="D47" s="385"/>
      <c r="E47" s="899"/>
      <c r="F47" s="1242">
        <f t="shared" si="0"/>
        <v>0</v>
      </c>
    </row>
    <row r="48" spans="1:6" s="58" customFormat="1" ht="19.5" customHeight="1">
      <c r="A48" s="321" t="s">
        <v>227</v>
      </c>
      <c r="B48" s="322" t="s">
        <v>228</v>
      </c>
      <c r="C48" s="397">
        <f>SUM(C49:C50)</f>
        <v>20905</v>
      </c>
      <c r="D48" s="397">
        <f>SUM(D49:D50)</f>
        <v>24570</v>
      </c>
      <c r="E48" s="397">
        <f>SUM(E49:E50)</f>
        <v>394</v>
      </c>
      <c r="F48" s="1288">
        <f>SUM(F49:F50)</f>
        <v>24964</v>
      </c>
    </row>
    <row r="49" spans="1:6" s="58" customFormat="1" ht="19.5" customHeight="1">
      <c r="A49" s="82" t="s">
        <v>241</v>
      </c>
      <c r="B49" s="47" t="s">
        <v>243</v>
      </c>
      <c r="C49" s="533"/>
      <c r="D49" s="534">
        <v>3515</v>
      </c>
      <c r="E49" s="505">
        <v>394</v>
      </c>
      <c r="F49" s="1242">
        <f t="shared" si="0"/>
        <v>3909</v>
      </c>
    </row>
    <row r="50" spans="1:6" s="58" customFormat="1" ht="19.5" customHeight="1" thickBot="1">
      <c r="A50" s="229" t="s">
        <v>242</v>
      </c>
      <c r="B50" s="757" t="s">
        <v>244</v>
      </c>
      <c r="C50" s="758">
        <v>20905</v>
      </c>
      <c r="D50" s="759">
        <v>21055</v>
      </c>
      <c r="E50" s="936"/>
      <c r="F50" s="1289">
        <f t="shared" si="0"/>
        <v>21055</v>
      </c>
    </row>
    <row r="51" spans="1:6" s="58" customFormat="1" ht="17.25" customHeight="1" thickBot="1">
      <c r="A51" s="45" t="s">
        <v>80</v>
      </c>
      <c r="B51" s="274" t="s">
        <v>229</v>
      </c>
      <c r="C51" s="760">
        <f>+C44+C45</f>
        <v>253373</v>
      </c>
      <c r="D51" s="760">
        <f>+D44+D45</f>
        <v>264328</v>
      </c>
      <c r="E51" s="235">
        <f>+E44+E45</f>
        <v>394</v>
      </c>
      <c r="F51" s="94">
        <f t="shared" si="0"/>
        <v>264722</v>
      </c>
    </row>
    <row r="52" spans="1:6" ht="16.5" thickBot="1">
      <c r="A52" s="88"/>
      <c r="B52" s="89"/>
      <c r="C52" s="90"/>
    </row>
    <row r="53" spans="1:6" s="74" customFormat="1" ht="35.25" customHeight="1" thickBot="1">
      <c r="A53" s="916"/>
      <c r="B53" s="1243" t="s">
        <v>2</v>
      </c>
      <c r="C53" s="917" t="s">
        <v>104</v>
      </c>
      <c r="D53" s="918" t="s">
        <v>558</v>
      </c>
      <c r="E53" s="915" t="s">
        <v>618</v>
      </c>
      <c r="F53" s="915" t="s">
        <v>471</v>
      </c>
    </row>
    <row r="54" spans="1:6" s="76" customFormat="1" ht="19.5" customHeight="1" thickBot="1">
      <c r="A54" s="37" t="s">
        <v>71</v>
      </c>
      <c r="B54" s="91" t="s">
        <v>230</v>
      </c>
      <c r="C54" s="286">
        <f>SUM(C55:C59)</f>
        <v>253373</v>
      </c>
      <c r="D54" s="286">
        <f>SUM(D55:D59)</f>
        <v>258646</v>
      </c>
      <c r="E54" s="286">
        <f>SUM(E55:E59)</f>
        <v>394</v>
      </c>
      <c r="F54" s="94">
        <f>D54+E54</f>
        <v>259040</v>
      </c>
    </row>
    <row r="55" spans="1:6" ht="19.5" customHeight="1">
      <c r="A55" s="919" t="s">
        <v>18</v>
      </c>
      <c r="B55" s="39" t="s">
        <v>98</v>
      </c>
      <c r="C55" s="291">
        <v>126107</v>
      </c>
      <c r="D55" s="291">
        <v>132281</v>
      </c>
      <c r="E55" s="1250">
        <v>310</v>
      </c>
      <c r="F55" s="1284">
        <f t="shared" ref="F55:F63" si="1">D55+E55</f>
        <v>132591</v>
      </c>
    </row>
    <row r="56" spans="1:6" ht="19.5" customHeight="1">
      <c r="A56" s="92" t="s">
        <v>19</v>
      </c>
      <c r="B56" s="40" t="s">
        <v>53</v>
      </c>
      <c r="C56" s="293">
        <v>35931</v>
      </c>
      <c r="D56" s="293">
        <v>37536</v>
      </c>
      <c r="E56" s="1251">
        <v>84</v>
      </c>
      <c r="F56" s="1285">
        <f t="shared" si="1"/>
        <v>37620</v>
      </c>
    </row>
    <row r="57" spans="1:6" ht="19.5" customHeight="1">
      <c r="A57" s="92" t="s">
        <v>20</v>
      </c>
      <c r="B57" s="40" t="s">
        <v>35</v>
      </c>
      <c r="C57" s="293">
        <v>91335</v>
      </c>
      <c r="D57" s="293">
        <v>88829</v>
      </c>
      <c r="E57" s="1250"/>
      <c r="F57" s="1285">
        <f t="shared" si="1"/>
        <v>88829</v>
      </c>
    </row>
    <row r="58" spans="1:6" ht="19.5" customHeight="1">
      <c r="A58" s="92" t="s">
        <v>21</v>
      </c>
      <c r="B58" s="40" t="s">
        <v>54</v>
      </c>
      <c r="C58" s="293"/>
      <c r="D58" s="293"/>
      <c r="E58" s="1251"/>
      <c r="F58" s="1285">
        <f t="shared" si="1"/>
        <v>0</v>
      </c>
    </row>
    <row r="59" spans="1:6" ht="19.5" customHeight="1" thickBot="1">
      <c r="A59" s="920" t="s">
        <v>36</v>
      </c>
      <c r="B59" s="236" t="s">
        <v>55</v>
      </c>
      <c r="C59" s="298"/>
      <c r="D59" s="298"/>
      <c r="E59" s="1252"/>
      <c r="F59" s="1253">
        <f t="shared" si="1"/>
        <v>0</v>
      </c>
    </row>
    <row r="60" spans="1:6" ht="19.5" customHeight="1" thickBot="1">
      <c r="A60" s="37" t="s">
        <v>72</v>
      </c>
      <c r="B60" s="91" t="s">
        <v>231</v>
      </c>
      <c r="C60" s="235">
        <f>SUM(C61:C63)</f>
        <v>0</v>
      </c>
      <c r="D60" s="235">
        <f>SUM(D61:D63)</f>
        <v>5682</v>
      </c>
      <c r="E60" s="268">
        <f>SUM(E61:E63)</f>
        <v>0</v>
      </c>
      <c r="F60" s="94">
        <f t="shared" si="1"/>
        <v>5682</v>
      </c>
    </row>
    <row r="61" spans="1:6" s="76" customFormat="1" ht="19.5" customHeight="1">
      <c r="A61" s="919" t="s">
        <v>24</v>
      </c>
      <c r="B61" s="39" t="s">
        <v>108</v>
      </c>
      <c r="C61" s="269"/>
      <c r="D61" s="1254">
        <v>5061</v>
      </c>
      <c r="E61" s="1259"/>
      <c r="F61" s="1284">
        <f t="shared" si="1"/>
        <v>5061</v>
      </c>
    </row>
    <row r="62" spans="1:6" ht="19.5" customHeight="1">
      <c r="A62" s="92" t="s">
        <v>25</v>
      </c>
      <c r="B62" s="40" t="s">
        <v>56</v>
      </c>
      <c r="C62" s="261"/>
      <c r="D62" s="1255">
        <v>621</v>
      </c>
      <c r="E62" s="1256"/>
      <c r="F62" s="1285">
        <f t="shared" si="1"/>
        <v>621</v>
      </c>
    </row>
    <row r="63" spans="1:6" ht="19.5" customHeight="1" thickBot="1">
      <c r="A63" s="920" t="s">
        <v>26</v>
      </c>
      <c r="B63" s="236" t="s">
        <v>3</v>
      </c>
      <c r="C63" s="924"/>
      <c r="D63" s="1257"/>
      <c r="E63" s="1258"/>
      <c r="F63" s="1253">
        <f t="shared" si="1"/>
        <v>0</v>
      </c>
    </row>
    <row r="64" spans="1:6" ht="19.5" customHeight="1" thickBot="1">
      <c r="A64" s="37" t="s">
        <v>73</v>
      </c>
      <c r="B64" s="46" t="s">
        <v>232</v>
      </c>
      <c r="C64" s="235">
        <f>+C54+C60</f>
        <v>253373</v>
      </c>
      <c r="D64" s="235">
        <f>+D54+D60</f>
        <v>264328</v>
      </c>
      <c r="E64" s="286">
        <f>+E54+E60</f>
        <v>394</v>
      </c>
      <c r="F64" s="1237">
        <f>D64+E64</f>
        <v>264722</v>
      </c>
    </row>
    <row r="65" spans="1:6" ht="15.75" customHeight="1" thickBot="1">
      <c r="A65" s="88"/>
      <c r="B65" s="89"/>
      <c r="C65" s="275"/>
      <c r="D65" s="396"/>
    </row>
    <row r="66" spans="1:6" ht="18.75" customHeight="1" thickBot="1">
      <c r="A66" s="48" t="s">
        <v>60</v>
      </c>
      <c r="B66" s="49"/>
      <c r="C66" s="1281">
        <v>57</v>
      </c>
      <c r="D66" s="1282">
        <v>57</v>
      </c>
      <c r="E66" s="1278"/>
      <c r="F66" s="1279">
        <f>D66+E66</f>
        <v>57</v>
      </c>
    </row>
    <row r="67" spans="1:6" ht="18.75" customHeight="1" thickBot="1">
      <c r="A67" s="48" t="s">
        <v>61</v>
      </c>
      <c r="B67" s="49"/>
      <c r="C67" s="1281"/>
      <c r="D67" s="1275"/>
      <c r="E67" s="1283"/>
      <c r="F67" s="1276">
        <f>D67+E67</f>
        <v>0</v>
      </c>
    </row>
  </sheetData>
  <sheetProtection formatCells="0"/>
  <mergeCells count="4">
    <mergeCell ref="A1:A2"/>
    <mergeCell ref="B1:B2"/>
    <mergeCell ref="C1:F2"/>
    <mergeCell ref="A6:F6"/>
  </mergeCells>
  <printOptions horizontalCentered="1"/>
  <pageMargins left="0.39370078740157483" right="0.39370078740157483" top="0.78740157480314965" bottom="0.39370078740157483" header="0.59055118110236227" footer="0.78740157480314965"/>
  <pageSetup paperSize="9" scale="58" orientation="portrait" verticalDpi="300" r:id="rId1"/>
  <headerFooter alignWithMargins="0">
    <oddHeader>&amp;R&amp;"Times New Roman CE,Dőlt"&amp;14 12 melléklet a ..../2014. (...)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67"/>
  <sheetViews>
    <sheetView topLeftCell="A43" zoomScale="93" zoomScaleNormal="93" workbookViewId="0">
      <selection activeCell="I67" sqref="I67"/>
    </sheetView>
  </sheetViews>
  <sheetFormatPr defaultRowHeight="12.75"/>
  <cols>
    <col min="1" max="1" width="13.83203125" style="77" customWidth="1"/>
    <col min="2" max="2" width="79.1640625" style="73" customWidth="1"/>
    <col min="3" max="3" width="19.1640625" style="73" customWidth="1"/>
    <col min="4" max="4" width="17.6640625" style="73" customWidth="1"/>
    <col min="5" max="5" width="17.33203125" style="73" customWidth="1"/>
    <col min="6" max="6" width="17.83203125" style="73" customWidth="1"/>
    <col min="7" max="16384" width="9.33203125" style="73"/>
  </cols>
  <sheetData>
    <row r="1" spans="1:6" s="11" customFormat="1" ht="21" customHeight="1" thickBot="1">
      <c r="A1" s="10"/>
      <c r="B1" s="68"/>
      <c r="C1" s="69"/>
    </row>
    <row r="2" spans="1:6" s="70" customFormat="1" ht="20.25" customHeight="1">
      <c r="A2" s="1599"/>
      <c r="B2" s="1666" t="s">
        <v>62</v>
      </c>
      <c r="C2" s="1681" t="s">
        <v>245</v>
      </c>
      <c r="D2" s="1682"/>
      <c r="E2" s="1682"/>
      <c r="F2" s="1683"/>
    </row>
    <row r="3" spans="1:6" s="70" customFormat="1" ht="16.5" thickBot="1">
      <c r="A3" s="1600"/>
      <c r="B3" s="1667"/>
      <c r="C3" s="1684"/>
      <c r="D3" s="1685"/>
      <c r="E3" s="1685"/>
      <c r="F3" s="1686"/>
    </row>
    <row r="4" spans="1:6" s="72" customFormat="1" ht="15" customHeight="1" thickBot="1">
      <c r="A4" s="70"/>
      <c r="B4" s="70"/>
      <c r="F4" s="71" t="s">
        <v>106</v>
      </c>
    </row>
    <row r="5" spans="1:6" ht="35.25" customHeight="1" thickBot="1">
      <c r="A5" s="78" t="s">
        <v>59</v>
      </c>
      <c r="B5" s="80" t="s">
        <v>0</v>
      </c>
      <c r="C5" s="202" t="s">
        <v>104</v>
      </c>
      <c r="D5" s="203" t="s">
        <v>471</v>
      </c>
      <c r="E5" s="895" t="s">
        <v>618</v>
      </c>
      <c r="F5" s="895" t="s">
        <v>471</v>
      </c>
    </row>
    <row r="6" spans="1:6" s="281" customFormat="1" ht="12.95" customHeight="1" thickBot="1">
      <c r="A6" s="230">
        <v>1</v>
      </c>
      <c r="B6" s="231">
        <v>2</v>
      </c>
      <c r="C6" s="232">
        <v>3</v>
      </c>
      <c r="D6" s="230">
        <v>4</v>
      </c>
      <c r="E6" s="731">
        <v>5</v>
      </c>
      <c r="F6" s="731">
        <v>6</v>
      </c>
    </row>
    <row r="7" spans="1:6" s="74" customFormat="1" ht="26.25" customHeight="1" thickBot="1">
      <c r="A7" s="1672" t="s">
        <v>1</v>
      </c>
      <c r="B7" s="1659"/>
      <c r="C7" s="1659"/>
      <c r="D7" s="1659"/>
      <c r="E7" s="1659"/>
      <c r="F7" s="1659"/>
    </row>
    <row r="8" spans="1:6" s="75" customFormat="1" ht="24" customHeight="1" thickBot="1">
      <c r="A8" s="37" t="s">
        <v>71</v>
      </c>
      <c r="B8" s="38" t="s">
        <v>198</v>
      </c>
      <c r="C8" s="378">
        <f>SUM(C9+C10+C14+C15+C16+C17+C18+C19+C20+C21)</f>
        <v>21934</v>
      </c>
      <c r="D8" s="378">
        <f>SUM(D9+D10+D14+D15+D16+D17+D18+D19+D20+D21)</f>
        <v>21659</v>
      </c>
      <c r="E8" s="289">
        <f>SUM(E9+E10+E14+E15+E16+E17+E18+E19+E20+E21)</f>
        <v>0</v>
      </c>
      <c r="F8" s="290">
        <f>D8+E8</f>
        <v>21659</v>
      </c>
    </row>
    <row r="9" spans="1:6" s="75" customFormat="1" ht="17.25" customHeight="1">
      <c r="A9" s="81" t="s">
        <v>18</v>
      </c>
      <c r="B9" s="52" t="s">
        <v>199</v>
      </c>
      <c r="C9" s="383"/>
      <c r="D9" s="1262"/>
      <c r="E9" s="1116"/>
      <c r="F9" s="1117">
        <f t="shared" ref="F9:F64" si="0">D9+E9</f>
        <v>0</v>
      </c>
    </row>
    <row r="10" spans="1:6" s="75" customFormat="1" ht="17.25" customHeight="1">
      <c r="A10" s="82" t="s">
        <v>19</v>
      </c>
      <c r="B10" s="40" t="s">
        <v>200</v>
      </c>
      <c r="C10" s="526">
        <f>SUM(C11:C13)</f>
        <v>3660</v>
      </c>
      <c r="D10" s="526">
        <f>SUM(D11:D13)</f>
        <v>3194</v>
      </c>
      <c r="E10" s="897">
        <v>-34</v>
      </c>
      <c r="F10" s="1176">
        <f t="shared" si="0"/>
        <v>3160</v>
      </c>
    </row>
    <row r="11" spans="1:6" s="75" customFormat="1" ht="17.25" customHeight="1">
      <c r="A11" s="82" t="s">
        <v>57</v>
      </c>
      <c r="B11" s="515" t="s">
        <v>249</v>
      </c>
      <c r="C11" s="769">
        <v>3000</v>
      </c>
      <c r="D11" s="770">
        <v>3000</v>
      </c>
      <c r="E11" s="764"/>
      <c r="F11" s="1176">
        <f t="shared" si="0"/>
        <v>3000</v>
      </c>
    </row>
    <row r="12" spans="1:6" s="75" customFormat="1" ht="17.25" customHeight="1">
      <c r="A12" s="82" t="s">
        <v>58</v>
      </c>
      <c r="B12" s="515" t="s">
        <v>250</v>
      </c>
      <c r="C12" s="769"/>
      <c r="D12" s="770"/>
      <c r="E12" s="764"/>
      <c r="F12" s="1176">
        <f t="shared" si="0"/>
        <v>0</v>
      </c>
    </row>
    <row r="13" spans="1:6" s="75" customFormat="1" ht="17.25" customHeight="1">
      <c r="A13" s="82" t="s">
        <v>248</v>
      </c>
      <c r="B13" s="515" t="s">
        <v>251</v>
      </c>
      <c r="C13" s="769">
        <v>660</v>
      </c>
      <c r="D13" s="770">
        <v>194</v>
      </c>
      <c r="E13" s="764">
        <v>-34</v>
      </c>
      <c r="F13" s="1228">
        <f t="shared" si="0"/>
        <v>160</v>
      </c>
    </row>
    <row r="14" spans="1:6" s="75" customFormat="1" ht="17.25" customHeight="1">
      <c r="A14" s="82" t="s">
        <v>20</v>
      </c>
      <c r="B14" s="40" t="s">
        <v>201</v>
      </c>
      <c r="C14" s="1260"/>
      <c r="D14" s="534"/>
      <c r="E14" s="1241"/>
      <c r="F14" s="1176">
        <f t="shared" si="0"/>
        <v>0</v>
      </c>
    </row>
    <row r="15" spans="1:6" s="75" customFormat="1" ht="17.25" customHeight="1">
      <c r="A15" s="82" t="s">
        <v>21</v>
      </c>
      <c r="B15" s="40" t="s">
        <v>202</v>
      </c>
      <c r="C15" s="1260"/>
      <c r="D15" s="534"/>
      <c r="E15" s="1241"/>
      <c r="F15" s="1176">
        <f t="shared" si="0"/>
        <v>0</v>
      </c>
    </row>
    <row r="16" spans="1:6" s="75" customFormat="1" ht="17.25" customHeight="1">
      <c r="A16" s="82" t="s">
        <v>36</v>
      </c>
      <c r="B16" s="40" t="s">
        <v>203</v>
      </c>
      <c r="C16" s="1260">
        <v>12430</v>
      </c>
      <c r="D16" s="534">
        <v>12430</v>
      </c>
      <c r="E16" s="1241"/>
      <c r="F16" s="1176">
        <f t="shared" si="0"/>
        <v>12430</v>
      </c>
    </row>
    <row r="17" spans="1:6" s="75" customFormat="1" ht="17.25" customHeight="1">
      <c r="A17" s="82" t="s">
        <v>22</v>
      </c>
      <c r="B17" s="40" t="s">
        <v>204</v>
      </c>
      <c r="C17" s="1260">
        <v>4344</v>
      </c>
      <c r="D17" s="534">
        <v>4344</v>
      </c>
      <c r="E17" s="1241"/>
      <c r="F17" s="1176">
        <f t="shared" si="0"/>
        <v>4344</v>
      </c>
    </row>
    <row r="18" spans="1:6" s="75" customFormat="1" ht="17.25" customHeight="1">
      <c r="A18" s="82" t="s">
        <v>23</v>
      </c>
      <c r="B18" s="53" t="s">
        <v>205</v>
      </c>
      <c r="C18" s="1260">
        <v>1500</v>
      </c>
      <c r="D18" s="534">
        <v>1500</v>
      </c>
      <c r="E18" s="1241"/>
      <c r="F18" s="1176">
        <f t="shared" si="0"/>
        <v>1500</v>
      </c>
    </row>
    <row r="19" spans="1:6" s="75" customFormat="1" ht="17.25" customHeight="1">
      <c r="A19" s="82" t="s">
        <v>30</v>
      </c>
      <c r="B19" s="40" t="s">
        <v>206</v>
      </c>
      <c r="C19" s="531"/>
      <c r="D19" s="530"/>
      <c r="E19" s="766"/>
      <c r="F19" s="1118">
        <f t="shared" si="0"/>
        <v>0</v>
      </c>
    </row>
    <row r="20" spans="1:6" s="58" customFormat="1" ht="17.25" customHeight="1">
      <c r="A20" s="82" t="s">
        <v>31</v>
      </c>
      <c r="B20" s="40" t="s">
        <v>207</v>
      </c>
      <c r="C20" s="526"/>
      <c r="D20" s="771"/>
      <c r="E20" s="766"/>
      <c r="F20" s="1118">
        <f t="shared" si="0"/>
        <v>0</v>
      </c>
    </row>
    <row r="21" spans="1:6" s="58" customFormat="1" ht="17.25" customHeight="1" thickBot="1">
      <c r="A21" s="229" t="s">
        <v>32</v>
      </c>
      <c r="B21" s="1119" t="s">
        <v>208</v>
      </c>
      <c r="C21" s="1263"/>
      <c r="D21" s="1264">
        <v>191</v>
      </c>
      <c r="E21" s="1121">
        <v>34</v>
      </c>
      <c r="F21" s="1261">
        <f t="shared" si="0"/>
        <v>225</v>
      </c>
    </row>
    <row r="22" spans="1:6" s="75" customFormat="1" ht="30.75" customHeight="1" thickBot="1">
      <c r="A22" s="37" t="s">
        <v>72</v>
      </c>
      <c r="B22" s="38" t="s">
        <v>209</v>
      </c>
      <c r="C22" s="378">
        <f>SUM(C23:C25)</f>
        <v>0</v>
      </c>
      <c r="D22" s="378">
        <f>SUM(D23:D25)</f>
        <v>0</v>
      </c>
      <c r="E22" s="289">
        <f>SUM(E23:E25)</f>
        <v>0</v>
      </c>
      <c r="F22" s="290">
        <f t="shared" si="0"/>
        <v>0</v>
      </c>
    </row>
    <row r="23" spans="1:6" s="58" customFormat="1" ht="17.25" customHeight="1">
      <c r="A23" s="84" t="s">
        <v>24</v>
      </c>
      <c r="B23" s="39" t="s">
        <v>210</v>
      </c>
      <c r="C23" s="269"/>
      <c r="D23" s="251"/>
      <c r="E23" s="901"/>
      <c r="F23" s="1226">
        <f t="shared" si="0"/>
        <v>0</v>
      </c>
    </row>
    <row r="24" spans="1:6" s="58" customFormat="1" ht="17.25" customHeight="1">
      <c r="A24" s="82" t="s">
        <v>25</v>
      </c>
      <c r="B24" s="40" t="s">
        <v>211</v>
      </c>
      <c r="C24" s="261"/>
      <c r="D24" s="223"/>
      <c r="E24" s="297"/>
      <c r="F24" s="1118">
        <f t="shared" si="0"/>
        <v>0</v>
      </c>
    </row>
    <row r="25" spans="1:6" s="58" customFormat="1" ht="17.25" customHeight="1">
      <c r="A25" s="82" t="s">
        <v>26</v>
      </c>
      <c r="B25" s="40" t="s">
        <v>212</v>
      </c>
      <c r="C25" s="262">
        <f>SUM(C26:C29)</f>
        <v>0</v>
      </c>
      <c r="D25" s="262">
        <f>SUM(D26:D29)</f>
        <v>0</v>
      </c>
      <c r="E25" s="898">
        <f>SUM(E26:E29)</f>
        <v>0</v>
      </c>
      <c r="F25" s="1118">
        <f t="shared" si="0"/>
        <v>0</v>
      </c>
    </row>
    <row r="26" spans="1:6" s="58" customFormat="1" ht="17.25" customHeight="1">
      <c r="A26" s="82" t="s">
        <v>27</v>
      </c>
      <c r="B26" s="40" t="s">
        <v>236</v>
      </c>
      <c r="C26" s="261"/>
      <c r="D26" s="223"/>
      <c r="E26" s="297"/>
      <c r="F26" s="1118">
        <f t="shared" si="0"/>
        <v>0</v>
      </c>
    </row>
    <row r="27" spans="1:6" s="58" customFormat="1" ht="17.25" customHeight="1">
      <c r="A27" s="82" t="s">
        <v>28</v>
      </c>
      <c r="B27" s="83" t="s">
        <v>233</v>
      </c>
      <c r="C27" s="261"/>
      <c r="D27" s="223"/>
      <c r="E27" s="297"/>
      <c r="F27" s="1118">
        <f t="shared" si="0"/>
        <v>0</v>
      </c>
    </row>
    <row r="28" spans="1:6" s="58" customFormat="1" ht="17.25" customHeight="1">
      <c r="A28" s="82" t="s">
        <v>33</v>
      </c>
      <c r="B28" s="83" t="s">
        <v>234</v>
      </c>
      <c r="C28" s="261"/>
      <c r="D28" s="223"/>
      <c r="E28" s="297"/>
      <c r="F28" s="1118">
        <f t="shared" si="0"/>
        <v>0</v>
      </c>
    </row>
    <row r="29" spans="1:6" s="58" customFormat="1" ht="17.25" customHeight="1" thickBot="1">
      <c r="A29" s="85" t="s">
        <v>34</v>
      </c>
      <c r="B29" s="902" t="s">
        <v>235</v>
      </c>
      <c r="C29" s="263"/>
      <c r="D29" s="225"/>
      <c r="E29" s="903"/>
      <c r="F29" s="1227">
        <f t="shared" si="0"/>
        <v>0</v>
      </c>
    </row>
    <row r="30" spans="1:6" s="58" customFormat="1" ht="17.25" customHeight="1" thickBot="1">
      <c r="A30" s="41" t="s">
        <v>73</v>
      </c>
      <c r="B30" s="42" t="s">
        <v>41</v>
      </c>
      <c r="C30" s="264"/>
      <c r="D30" s="264"/>
      <c r="E30" s="306"/>
      <c r="F30" s="290">
        <f t="shared" si="0"/>
        <v>0</v>
      </c>
    </row>
    <row r="31" spans="1:6" s="58" customFormat="1" ht="30.75" customHeight="1" thickBot="1">
      <c r="A31" s="41" t="s">
        <v>74</v>
      </c>
      <c r="B31" s="42" t="s">
        <v>213</v>
      </c>
      <c r="C31" s="260">
        <f>+C32+C33</f>
        <v>0</v>
      </c>
      <c r="D31" s="260">
        <f>+D32+D33</f>
        <v>0</v>
      </c>
      <c r="E31" s="289">
        <f>+E32+E33</f>
        <v>0</v>
      </c>
      <c r="F31" s="290">
        <f t="shared" si="0"/>
        <v>0</v>
      </c>
    </row>
    <row r="32" spans="1:6" s="58" customFormat="1" ht="17.25" customHeight="1">
      <c r="A32" s="81" t="s">
        <v>9</v>
      </c>
      <c r="B32" s="228" t="s">
        <v>211</v>
      </c>
      <c r="C32" s="1488"/>
      <c r="D32" s="224"/>
      <c r="E32" s="313"/>
      <c r="F32" s="1117">
        <f t="shared" si="0"/>
        <v>0</v>
      </c>
    </row>
    <row r="33" spans="1:6" s="58" customFormat="1" ht="17.25" customHeight="1">
      <c r="A33" s="84" t="s">
        <v>10</v>
      </c>
      <c r="B33" s="44" t="s">
        <v>214</v>
      </c>
      <c r="C33" s="280">
        <f>SUM(C34:C37)</f>
        <v>0</v>
      </c>
      <c r="D33" s="280">
        <f>SUM(D34:D37)</f>
        <v>0</v>
      </c>
      <c r="E33" s="898">
        <f>SUM(E34:E37)</f>
        <v>0</v>
      </c>
      <c r="F33" s="1118">
        <f t="shared" si="0"/>
        <v>0</v>
      </c>
    </row>
    <row r="34" spans="1:6" s="58" customFormat="1" ht="17.25" customHeight="1">
      <c r="A34" s="84" t="s">
        <v>215</v>
      </c>
      <c r="B34" s="40" t="s">
        <v>237</v>
      </c>
      <c r="C34" s="267"/>
      <c r="D34" s="223"/>
      <c r="E34" s="297"/>
      <c r="F34" s="1118">
        <f t="shared" si="0"/>
        <v>0</v>
      </c>
    </row>
    <row r="35" spans="1:6" s="58" customFormat="1" ht="17.25" customHeight="1">
      <c r="A35" s="84" t="s">
        <v>238</v>
      </c>
      <c r="B35" s="83" t="s">
        <v>233</v>
      </c>
      <c r="C35" s="267"/>
      <c r="D35" s="223"/>
      <c r="E35" s="297"/>
      <c r="F35" s="1118">
        <f t="shared" si="0"/>
        <v>0</v>
      </c>
    </row>
    <row r="36" spans="1:6" s="58" customFormat="1" ht="17.25" customHeight="1">
      <c r="A36" s="84" t="s">
        <v>239</v>
      </c>
      <c r="B36" s="83" t="s">
        <v>234</v>
      </c>
      <c r="C36" s="267"/>
      <c r="D36" s="223"/>
      <c r="E36" s="297"/>
      <c r="F36" s="1118">
        <f t="shared" si="0"/>
        <v>0</v>
      </c>
    </row>
    <row r="37" spans="1:6" s="58" customFormat="1" ht="17.25" customHeight="1" thickBot="1">
      <c r="A37" s="318" t="s">
        <v>240</v>
      </c>
      <c r="B37" s="314" t="s">
        <v>235</v>
      </c>
      <c r="C37" s="1489"/>
      <c r="D37" s="1211"/>
      <c r="E37" s="316"/>
      <c r="F37" s="1123">
        <f t="shared" si="0"/>
        <v>0</v>
      </c>
    </row>
    <row r="38" spans="1:6" s="58" customFormat="1" ht="17.25" customHeight="1" thickBot="1">
      <c r="A38" s="41" t="s">
        <v>75</v>
      </c>
      <c r="B38" s="42" t="s">
        <v>216</v>
      </c>
      <c r="C38" s="260">
        <f>+C39+C40+C41</f>
        <v>0</v>
      </c>
      <c r="D38" s="260">
        <f>+D39+D40+D41</f>
        <v>0</v>
      </c>
      <c r="E38" s="289">
        <f>+E39+E40+E41</f>
        <v>0</v>
      </c>
      <c r="F38" s="290">
        <f t="shared" si="0"/>
        <v>0</v>
      </c>
    </row>
    <row r="39" spans="1:6" s="58" customFormat="1" ht="17.25" customHeight="1">
      <c r="A39" s="84" t="s">
        <v>11</v>
      </c>
      <c r="B39" s="43" t="s">
        <v>217</v>
      </c>
      <c r="C39" s="265"/>
      <c r="D39" s="251"/>
      <c r="E39" s="901"/>
      <c r="F39" s="1226">
        <f t="shared" si="0"/>
        <v>0</v>
      </c>
    </row>
    <row r="40" spans="1:6" s="58" customFormat="1" ht="17.25" customHeight="1">
      <c r="A40" s="84" t="s">
        <v>12</v>
      </c>
      <c r="B40" s="47" t="s">
        <v>218</v>
      </c>
      <c r="C40" s="266"/>
      <c r="D40" s="223"/>
      <c r="E40" s="297"/>
      <c r="F40" s="1118">
        <f t="shared" si="0"/>
        <v>0</v>
      </c>
    </row>
    <row r="41" spans="1:6" s="58" customFormat="1" ht="17.25" customHeight="1" thickBot="1">
      <c r="A41" s="85" t="s">
        <v>13</v>
      </c>
      <c r="B41" s="55" t="s">
        <v>219</v>
      </c>
      <c r="C41" s="282"/>
      <c r="D41" s="225"/>
      <c r="E41" s="305"/>
      <c r="F41" s="1227">
        <f t="shared" si="0"/>
        <v>0</v>
      </c>
    </row>
    <row r="42" spans="1:6" s="75" customFormat="1" ht="17.25" customHeight="1" thickBot="1">
      <c r="A42" s="41" t="s">
        <v>76</v>
      </c>
      <c r="B42" s="42" t="s">
        <v>220</v>
      </c>
      <c r="C42" s="264"/>
      <c r="D42" s="227"/>
      <c r="E42" s="308"/>
      <c r="F42" s="290">
        <f t="shared" si="0"/>
        <v>0</v>
      </c>
    </row>
    <row r="43" spans="1:6" s="75" customFormat="1" ht="17.25" customHeight="1" thickBot="1">
      <c r="A43" s="41" t="s">
        <v>77</v>
      </c>
      <c r="B43" s="42" t="s">
        <v>221</v>
      </c>
      <c r="C43" s="1265"/>
      <c r="D43" s="227"/>
      <c r="E43" s="308"/>
      <c r="F43" s="290">
        <f t="shared" si="0"/>
        <v>0</v>
      </c>
    </row>
    <row r="44" spans="1:6" s="75" customFormat="1" ht="17.25" customHeight="1" thickBot="1">
      <c r="A44" s="37" t="s">
        <v>78</v>
      </c>
      <c r="B44" s="42" t="s">
        <v>222</v>
      </c>
      <c r="C44" s="523">
        <f>+C8+C22+C30+C31+C38+C42+C43</f>
        <v>21934</v>
      </c>
      <c r="D44" s="524">
        <f>+D8+D22+D30+D31+D38+D42+D43</f>
        <v>21659</v>
      </c>
      <c r="E44" s="288">
        <f>+E8+E22+E30+E31+E38+E42+E43</f>
        <v>0</v>
      </c>
      <c r="F44" s="290">
        <f t="shared" si="0"/>
        <v>21659</v>
      </c>
    </row>
    <row r="45" spans="1:6" s="75" customFormat="1" ht="17.25" customHeight="1" thickBot="1">
      <c r="A45" s="45" t="s">
        <v>79</v>
      </c>
      <c r="B45" s="42" t="s">
        <v>223</v>
      </c>
      <c r="C45" s="523">
        <f>+C46+C47+C48</f>
        <v>361409</v>
      </c>
      <c r="D45" s="524">
        <f>+D46+D47+D48</f>
        <v>370314</v>
      </c>
      <c r="E45" s="289">
        <f>+E46+E47+E48</f>
        <v>507</v>
      </c>
      <c r="F45" s="290">
        <f t="shared" si="0"/>
        <v>370821</v>
      </c>
    </row>
    <row r="46" spans="1:6" s="75" customFormat="1" ht="17.25" customHeight="1">
      <c r="A46" s="84" t="s">
        <v>224</v>
      </c>
      <c r="B46" s="43" t="s">
        <v>111</v>
      </c>
      <c r="C46" s="1266"/>
      <c r="D46" s="1267">
        <v>721</v>
      </c>
      <c r="E46" s="910"/>
      <c r="F46" s="1269">
        <f t="shared" si="0"/>
        <v>721</v>
      </c>
    </row>
    <row r="47" spans="1:6" s="75" customFormat="1" ht="18.75" customHeight="1">
      <c r="A47" s="84" t="s">
        <v>225</v>
      </c>
      <c r="B47" s="47" t="s">
        <v>226</v>
      </c>
      <c r="C47" s="517"/>
      <c r="D47" s="518"/>
      <c r="E47" s="502"/>
      <c r="F47" s="1176">
        <f t="shared" si="0"/>
        <v>0</v>
      </c>
    </row>
    <row r="48" spans="1:6" s="58" customFormat="1" ht="18.75" customHeight="1">
      <c r="A48" s="85" t="s">
        <v>227</v>
      </c>
      <c r="B48" s="320" t="s">
        <v>228</v>
      </c>
      <c r="C48" s="519">
        <f>SUM(C49:C50)</f>
        <v>361409</v>
      </c>
      <c r="D48" s="525">
        <f>SUM(D49:D50)</f>
        <v>369593</v>
      </c>
      <c r="E48" s="899">
        <f>SUM(E49:E50)</f>
        <v>507</v>
      </c>
      <c r="F48" s="1228">
        <f t="shared" si="0"/>
        <v>370100</v>
      </c>
    </row>
    <row r="49" spans="1:6" s="58" customFormat="1" ht="18.75" customHeight="1">
      <c r="A49" s="82" t="s">
        <v>241</v>
      </c>
      <c r="B49" s="47" t="s">
        <v>243</v>
      </c>
      <c r="C49" s="761">
        <f>292230+29105</f>
        <v>321335</v>
      </c>
      <c r="D49" s="536">
        <v>315589</v>
      </c>
      <c r="E49" s="505">
        <v>-1770</v>
      </c>
      <c r="F49" s="1176">
        <f t="shared" si="0"/>
        <v>313819</v>
      </c>
    </row>
    <row r="50" spans="1:6" s="58" customFormat="1" ht="18.75" customHeight="1" thickBot="1">
      <c r="A50" s="86" t="s">
        <v>242</v>
      </c>
      <c r="B50" s="182" t="s">
        <v>244</v>
      </c>
      <c r="C50" s="1268">
        <f>69179-29105</f>
        <v>40074</v>
      </c>
      <c r="D50" s="538">
        <v>54004</v>
      </c>
      <c r="E50" s="903">
        <v>2277</v>
      </c>
      <c r="F50" s="1270">
        <f t="shared" si="0"/>
        <v>56281</v>
      </c>
    </row>
    <row r="51" spans="1:6" s="58" customFormat="1" ht="24" customHeight="1" thickBot="1">
      <c r="A51" s="45" t="s">
        <v>80</v>
      </c>
      <c r="B51" s="50" t="s">
        <v>229</v>
      </c>
      <c r="C51" s="521">
        <f>+C44+C45</f>
        <v>383343</v>
      </c>
      <c r="D51" s="522">
        <f>+D44+D45</f>
        <v>391973</v>
      </c>
      <c r="E51" s="911">
        <f>+E44+E45</f>
        <v>507</v>
      </c>
      <c r="F51" s="290">
        <f t="shared" si="0"/>
        <v>392480</v>
      </c>
    </row>
    <row r="52" spans="1:6" ht="16.5" thickBot="1">
      <c r="A52" s="88"/>
      <c r="B52" s="89"/>
      <c r="C52" s="90"/>
      <c r="F52" s="1271"/>
    </row>
    <row r="53" spans="1:6" s="74" customFormat="1" ht="37.5" customHeight="1" thickBot="1">
      <c r="A53" s="78"/>
      <c r="B53" s="233" t="s">
        <v>2</v>
      </c>
      <c r="C53" s="202" t="s">
        <v>104</v>
      </c>
      <c r="D53" s="203" t="s">
        <v>471</v>
      </c>
      <c r="E53" s="895" t="s">
        <v>618</v>
      </c>
      <c r="F53" s="895" t="s">
        <v>471</v>
      </c>
    </row>
    <row r="54" spans="1:6" s="76" customFormat="1" ht="19.5" customHeight="1" thickBot="1">
      <c r="A54" s="37" t="s">
        <v>71</v>
      </c>
      <c r="B54" s="91" t="s">
        <v>230</v>
      </c>
      <c r="C54" s="522">
        <f>SUM(C55:C59)</f>
        <v>383343</v>
      </c>
      <c r="D54" s="522">
        <f>SUM(D55:D59)</f>
        <v>391628</v>
      </c>
      <c r="E54" s="522">
        <f>SUM(E55:E59)</f>
        <v>57</v>
      </c>
      <c r="F54" s="290">
        <f t="shared" si="0"/>
        <v>391685</v>
      </c>
    </row>
    <row r="55" spans="1:6" ht="19.5" customHeight="1">
      <c r="A55" s="919" t="s">
        <v>18</v>
      </c>
      <c r="B55" s="39" t="s">
        <v>98</v>
      </c>
      <c r="C55" s="527">
        <v>240429</v>
      </c>
      <c r="D55" s="527">
        <v>253163</v>
      </c>
      <c r="E55" s="913">
        <v>-1353</v>
      </c>
      <c r="F55" s="1269">
        <f t="shared" si="0"/>
        <v>251810</v>
      </c>
    </row>
    <row r="56" spans="1:6" ht="19.5" customHeight="1">
      <c r="A56" s="92" t="s">
        <v>19</v>
      </c>
      <c r="B56" s="40" t="s">
        <v>53</v>
      </c>
      <c r="C56" s="526">
        <v>69716</v>
      </c>
      <c r="D56" s="527">
        <v>69237</v>
      </c>
      <c r="E56" s="912">
        <v>-377</v>
      </c>
      <c r="F56" s="1176">
        <f t="shared" si="0"/>
        <v>68860</v>
      </c>
    </row>
    <row r="57" spans="1:6" ht="19.5" customHeight="1">
      <c r="A57" s="92" t="s">
        <v>20</v>
      </c>
      <c r="B57" s="40" t="s">
        <v>35</v>
      </c>
      <c r="C57" s="526">
        <v>73198</v>
      </c>
      <c r="D57" s="527">
        <v>68973</v>
      </c>
      <c r="E57" s="913">
        <v>1787</v>
      </c>
      <c r="F57" s="1176">
        <f t="shared" si="0"/>
        <v>70760</v>
      </c>
    </row>
    <row r="58" spans="1:6" ht="19.5" customHeight="1">
      <c r="A58" s="92" t="s">
        <v>21</v>
      </c>
      <c r="B58" s="40" t="s">
        <v>54</v>
      </c>
      <c r="C58" s="526"/>
      <c r="D58" s="527">
        <v>255</v>
      </c>
      <c r="E58" s="513"/>
      <c r="F58" s="1176">
        <f t="shared" si="0"/>
        <v>255</v>
      </c>
    </row>
    <row r="59" spans="1:6" ht="19.5" customHeight="1" thickBot="1">
      <c r="A59" s="920" t="s">
        <v>36</v>
      </c>
      <c r="B59" s="236" t="s">
        <v>55</v>
      </c>
      <c r="C59" s="1272"/>
      <c r="D59" s="531"/>
      <c r="E59" s="922"/>
      <c r="F59" s="1227">
        <f t="shared" si="0"/>
        <v>0</v>
      </c>
    </row>
    <row r="60" spans="1:6" ht="19.5" customHeight="1" thickBot="1">
      <c r="A60" s="37" t="s">
        <v>72</v>
      </c>
      <c r="B60" s="91" t="s">
        <v>231</v>
      </c>
      <c r="C60" s="522">
        <f>SUM(C61:C63)</f>
        <v>0</v>
      </c>
      <c r="D60" s="522">
        <f>SUM(D61:D63)</f>
        <v>345</v>
      </c>
      <c r="E60" s="268">
        <f>SUM(E61:E63)</f>
        <v>450</v>
      </c>
      <c r="F60" s="290">
        <f t="shared" si="0"/>
        <v>795</v>
      </c>
    </row>
    <row r="61" spans="1:6" s="76" customFormat="1" ht="19.5" customHeight="1">
      <c r="A61" s="919" t="s">
        <v>24</v>
      </c>
      <c r="B61" s="39" t="s">
        <v>108</v>
      </c>
      <c r="C61" s="527"/>
      <c r="D61" s="527">
        <v>345</v>
      </c>
      <c r="E61" s="923">
        <v>450</v>
      </c>
      <c r="F61" s="1269">
        <f t="shared" si="0"/>
        <v>795</v>
      </c>
    </row>
    <row r="62" spans="1:6" ht="19.5" customHeight="1">
      <c r="A62" s="92" t="s">
        <v>25</v>
      </c>
      <c r="B62" s="40" t="s">
        <v>56</v>
      </c>
      <c r="C62" s="527"/>
      <c r="D62" s="527"/>
      <c r="E62" s="914"/>
      <c r="F62" s="1118">
        <f t="shared" si="0"/>
        <v>0</v>
      </c>
    </row>
    <row r="63" spans="1:6" ht="19.5" customHeight="1" thickBot="1">
      <c r="A63" s="920" t="s">
        <v>26</v>
      </c>
      <c r="B63" s="236" t="s">
        <v>3</v>
      </c>
      <c r="C63" s="531"/>
      <c r="D63" s="531"/>
      <c r="E63" s="925"/>
      <c r="F63" s="1227">
        <f t="shared" si="0"/>
        <v>0</v>
      </c>
    </row>
    <row r="64" spans="1:6" ht="19.5" customHeight="1" thickBot="1">
      <c r="A64" s="37" t="s">
        <v>73</v>
      </c>
      <c r="B64" s="46" t="s">
        <v>232</v>
      </c>
      <c r="C64" s="522">
        <f>+C54+C60</f>
        <v>383343</v>
      </c>
      <c r="D64" s="522">
        <f>+D54+D60</f>
        <v>391973</v>
      </c>
      <c r="E64" s="286">
        <f>+E54+E60</f>
        <v>507</v>
      </c>
      <c r="F64" s="290">
        <f t="shared" si="0"/>
        <v>392480</v>
      </c>
    </row>
    <row r="65" spans="1:6" ht="15.75" customHeight="1" thickBot="1">
      <c r="A65" s="240"/>
      <c r="B65" s="241"/>
      <c r="C65" s="528"/>
      <c r="D65" s="514"/>
    </row>
    <row r="66" spans="1:6" ht="15.75" customHeight="1" thickBot="1">
      <c r="A66" s="48" t="s">
        <v>60</v>
      </c>
      <c r="B66" s="49"/>
      <c r="C66" s="529">
        <v>92</v>
      </c>
      <c r="D66" s="529">
        <v>92</v>
      </c>
      <c r="E66" s="529">
        <v>1</v>
      </c>
      <c r="F66" s="1230">
        <f>D66+E66</f>
        <v>93</v>
      </c>
    </row>
    <row r="67" spans="1:6" ht="15.75" customHeight="1" thickBot="1">
      <c r="A67" s="276" t="s">
        <v>61</v>
      </c>
      <c r="B67" s="277"/>
      <c r="C67" s="932"/>
      <c r="D67" s="933"/>
      <c r="E67" s="309"/>
      <c r="F67" s="1075">
        <f>D67+E67</f>
        <v>0</v>
      </c>
    </row>
  </sheetData>
  <sheetProtection formatCells="0"/>
  <mergeCells count="4">
    <mergeCell ref="A2:A3"/>
    <mergeCell ref="B2:B3"/>
    <mergeCell ref="C2:F3"/>
    <mergeCell ref="A7:F7"/>
  </mergeCells>
  <printOptions horizontalCentered="1"/>
  <pageMargins left="0.31496062992125984" right="0.31496062992125984" top="0.78740157480314965" bottom="0.59055118110236227" header="0.59055118110236227" footer="0.59055118110236227"/>
  <pageSetup paperSize="9" scale="58" orientation="portrait" verticalDpi="300" r:id="rId1"/>
  <headerFooter alignWithMargins="0">
    <oddHeader>&amp;R&amp;"Times New Roman CE,Dőlt"&amp;14 13.1 melléklet a ..../2014. (...)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67"/>
  <sheetViews>
    <sheetView topLeftCell="A43" zoomScale="93" zoomScaleNormal="93" workbookViewId="0">
      <selection activeCell="E71" sqref="E71"/>
    </sheetView>
  </sheetViews>
  <sheetFormatPr defaultRowHeight="12.75"/>
  <cols>
    <col min="1" max="1" width="13.83203125" style="77" customWidth="1"/>
    <col min="2" max="2" width="79.1640625" style="73" customWidth="1"/>
    <col min="3" max="3" width="19.33203125" style="73" customWidth="1"/>
    <col min="4" max="4" width="16" style="73" customWidth="1"/>
    <col min="5" max="5" width="19.1640625" style="73" customWidth="1"/>
    <col min="6" max="6" width="18.33203125" style="73" customWidth="1"/>
    <col min="7" max="16384" width="9.33203125" style="73"/>
  </cols>
  <sheetData>
    <row r="1" spans="1:6" s="11" customFormat="1" ht="21" customHeight="1" thickBot="1">
      <c r="A1" s="10"/>
      <c r="B1" s="68"/>
      <c r="C1" s="69"/>
    </row>
    <row r="2" spans="1:6" s="70" customFormat="1" ht="18.75" customHeight="1">
      <c r="A2" s="1599"/>
      <c r="B2" s="1666" t="s">
        <v>63</v>
      </c>
      <c r="C2" s="1681" t="s">
        <v>245</v>
      </c>
      <c r="D2" s="1682"/>
      <c r="E2" s="1682"/>
      <c r="F2" s="1683"/>
    </row>
    <row r="3" spans="1:6" s="70" customFormat="1" ht="16.5" thickBot="1">
      <c r="A3" s="1600"/>
      <c r="B3" s="1667"/>
      <c r="C3" s="1684"/>
      <c r="D3" s="1685"/>
      <c r="E3" s="1685"/>
      <c r="F3" s="1686"/>
    </row>
    <row r="4" spans="1:6" s="72" customFormat="1" ht="14.25" customHeight="1" thickBot="1">
      <c r="A4" s="70"/>
      <c r="B4" s="70"/>
      <c r="F4" s="71" t="s">
        <v>106</v>
      </c>
    </row>
    <row r="5" spans="1:6" ht="33.75" customHeight="1" thickBot="1">
      <c r="A5" s="78" t="s">
        <v>59</v>
      </c>
      <c r="B5" s="79" t="s">
        <v>0</v>
      </c>
      <c r="C5" s="202" t="s">
        <v>472</v>
      </c>
      <c r="D5" s="203" t="s">
        <v>471</v>
      </c>
      <c r="E5" s="895" t="s">
        <v>618</v>
      </c>
      <c r="F5" s="895" t="s">
        <v>471</v>
      </c>
    </row>
    <row r="6" spans="1:6" s="74" customFormat="1" ht="12.95" customHeight="1" thickBot="1">
      <c r="A6" s="230">
        <v>1</v>
      </c>
      <c r="B6" s="231">
        <v>2</v>
      </c>
      <c r="C6" s="272">
        <v>3</v>
      </c>
      <c r="D6" s="230">
        <v>4</v>
      </c>
      <c r="E6" s="731">
        <v>5</v>
      </c>
      <c r="F6" s="731">
        <v>6</v>
      </c>
    </row>
    <row r="7" spans="1:6" s="74" customFormat="1" ht="26.25" customHeight="1" thickBot="1">
      <c r="A7" s="1657" t="s">
        <v>1</v>
      </c>
      <c r="B7" s="1658"/>
      <c r="C7" s="1658"/>
      <c r="D7" s="1658"/>
      <c r="E7" s="1658"/>
      <c r="F7" s="1658"/>
    </row>
    <row r="8" spans="1:6" s="75" customFormat="1" ht="17.25" customHeight="1" thickBot="1">
      <c r="A8" s="37" t="s">
        <v>71</v>
      </c>
      <c r="B8" s="38" t="s">
        <v>198</v>
      </c>
      <c r="C8" s="288">
        <f>SUM(C9+C10+C14+C15+C16+C17+C18+C19+C20+C21)</f>
        <v>23550</v>
      </c>
      <c r="D8" s="289">
        <f>SUM(D9+D10+D14+D15+D16+D17+D18+D19+D20+D21)</f>
        <v>23550</v>
      </c>
      <c r="E8" s="289">
        <f>SUM(E9+E10+E14+E15+E16+E17+E18+E19+E20+E21)</f>
        <v>0</v>
      </c>
      <c r="F8" s="290">
        <f>D8+E8</f>
        <v>23550</v>
      </c>
    </row>
    <row r="9" spans="1:6" s="75" customFormat="1" ht="17.25" customHeight="1">
      <c r="A9" s="81" t="s">
        <v>18</v>
      </c>
      <c r="B9" s="52" t="s">
        <v>199</v>
      </c>
      <c r="C9" s="312"/>
      <c r="D9" s="1297"/>
      <c r="E9" s="1116"/>
      <c r="F9" s="1117">
        <f t="shared" ref="F9:F51" si="0">D9+E9</f>
        <v>0</v>
      </c>
    </row>
    <row r="10" spans="1:6" s="75" customFormat="1" ht="17.25" customHeight="1">
      <c r="A10" s="82" t="s">
        <v>19</v>
      </c>
      <c r="B10" s="40" t="s">
        <v>200</v>
      </c>
      <c r="C10" s="510">
        <f>SUM(C11:C13)</f>
        <v>16200</v>
      </c>
      <c r="D10" s="767">
        <f>SUM(D11:D13)</f>
        <v>16200</v>
      </c>
      <c r="E10" s="897">
        <v>-56</v>
      </c>
      <c r="F10" s="1176">
        <f t="shared" si="0"/>
        <v>16144</v>
      </c>
    </row>
    <row r="11" spans="1:6" s="75" customFormat="1" ht="17.25" customHeight="1">
      <c r="A11" s="82" t="s">
        <v>57</v>
      </c>
      <c r="B11" s="515" t="s">
        <v>249</v>
      </c>
      <c r="C11" s="503">
        <v>700</v>
      </c>
      <c r="D11" s="509">
        <v>700</v>
      </c>
      <c r="E11" s="764"/>
      <c r="F11" s="1176">
        <f t="shared" si="0"/>
        <v>700</v>
      </c>
    </row>
    <row r="12" spans="1:6" s="75" customFormat="1" ht="17.25" customHeight="1">
      <c r="A12" s="82" t="s">
        <v>58</v>
      </c>
      <c r="B12" s="515" t="s">
        <v>250</v>
      </c>
      <c r="C12" s="503"/>
      <c r="D12" s="509"/>
      <c r="E12" s="764"/>
      <c r="F12" s="1176">
        <f t="shared" si="0"/>
        <v>0</v>
      </c>
    </row>
    <row r="13" spans="1:6" s="75" customFormat="1" ht="17.25" customHeight="1">
      <c r="A13" s="82" t="s">
        <v>248</v>
      </c>
      <c r="B13" s="515" t="s">
        <v>251</v>
      </c>
      <c r="C13" s="503">
        <v>15500</v>
      </c>
      <c r="D13" s="509">
        <v>15500</v>
      </c>
      <c r="E13" s="764">
        <v>-56</v>
      </c>
      <c r="F13" s="1228">
        <f t="shared" si="0"/>
        <v>15444</v>
      </c>
    </row>
    <row r="14" spans="1:6" s="75" customFormat="1" ht="17.25" customHeight="1">
      <c r="A14" s="82" t="s">
        <v>20</v>
      </c>
      <c r="B14" s="40" t="s">
        <v>201</v>
      </c>
      <c r="C14" s="510"/>
      <c r="D14" s="509"/>
      <c r="E14" s="765"/>
      <c r="F14" s="1176">
        <f t="shared" si="0"/>
        <v>0</v>
      </c>
    </row>
    <row r="15" spans="1:6" s="75" customFormat="1" ht="17.25" customHeight="1">
      <c r="A15" s="82" t="s">
        <v>21</v>
      </c>
      <c r="B15" s="40" t="s">
        <v>202</v>
      </c>
      <c r="C15" s="510"/>
      <c r="D15" s="509"/>
      <c r="E15" s="765"/>
      <c r="F15" s="1176">
        <f t="shared" si="0"/>
        <v>0</v>
      </c>
    </row>
    <row r="16" spans="1:6" s="75" customFormat="1" ht="17.25" customHeight="1">
      <c r="A16" s="82" t="s">
        <v>36</v>
      </c>
      <c r="B16" s="40" t="s">
        <v>203</v>
      </c>
      <c r="C16" s="504">
        <v>2350</v>
      </c>
      <c r="D16" s="502">
        <v>2350</v>
      </c>
      <c r="E16" s="765"/>
      <c r="F16" s="1176">
        <f t="shared" si="0"/>
        <v>2350</v>
      </c>
    </row>
    <row r="17" spans="1:6" s="75" customFormat="1" ht="17.25" customHeight="1">
      <c r="A17" s="82" t="s">
        <v>22</v>
      </c>
      <c r="B17" s="40" t="s">
        <v>204</v>
      </c>
      <c r="C17" s="504">
        <v>5000</v>
      </c>
      <c r="D17" s="502">
        <v>5000</v>
      </c>
      <c r="E17" s="765"/>
      <c r="F17" s="1176">
        <f t="shared" si="0"/>
        <v>5000</v>
      </c>
    </row>
    <row r="18" spans="1:6" s="75" customFormat="1" ht="17.25" customHeight="1">
      <c r="A18" s="82" t="s">
        <v>23</v>
      </c>
      <c r="B18" s="53" t="s">
        <v>205</v>
      </c>
      <c r="C18" s="510"/>
      <c r="D18" s="509"/>
      <c r="E18" s="765"/>
      <c r="F18" s="1176">
        <f t="shared" si="0"/>
        <v>0</v>
      </c>
    </row>
    <row r="19" spans="1:6" s="75" customFormat="1" ht="17.25" customHeight="1">
      <c r="A19" s="82" t="s">
        <v>30</v>
      </c>
      <c r="B19" s="40" t="s">
        <v>206</v>
      </c>
      <c r="C19" s="768"/>
      <c r="D19" s="509"/>
      <c r="E19" s="766"/>
      <c r="F19" s="1118">
        <f t="shared" si="0"/>
        <v>0</v>
      </c>
    </row>
    <row r="20" spans="1:6" s="58" customFormat="1" ht="17.25" customHeight="1">
      <c r="A20" s="82" t="s">
        <v>31</v>
      </c>
      <c r="B20" s="40" t="s">
        <v>207</v>
      </c>
      <c r="C20" s="510"/>
      <c r="D20" s="505"/>
      <c r="E20" s="766"/>
      <c r="F20" s="1118">
        <f t="shared" si="0"/>
        <v>0</v>
      </c>
    </row>
    <row r="21" spans="1:6" s="58" customFormat="1" ht="17.25" customHeight="1" thickBot="1">
      <c r="A21" s="229" t="s">
        <v>32</v>
      </c>
      <c r="B21" s="1119" t="s">
        <v>208</v>
      </c>
      <c r="C21" s="395"/>
      <c r="D21" s="316"/>
      <c r="E21" s="1121">
        <v>56</v>
      </c>
      <c r="F21" s="1111">
        <f t="shared" si="0"/>
        <v>56</v>
      </c>
    </row>
    <row r="22" spans="1:6" s="75" customFormat="1" ht="32.25" customHeight="1" thickBot="1">
      <c r="A22" s="37" t="s">
        <v>72</v>
      </c>
      <c r="B22" s="38" t="s">
        <v>209</v>
      </c>
      <c r="C22" s="288">
        <f>SUM(C23:C25)</f>
        <v>0</v>
      </c>
      <c r="D22" s="288">
        <f>SUM(D23:D25)</f>
        <v>0</v>
      </c>
      <c r="E22" s="289">
        <f>SUM(E23:E25)</f>
        <v>0</v>
      </c>
      <c r="F22" s="290">
        <f t="shared" si="0"/>
        <v>0</v>
      </c>
    </row>
    <row r="23" spans="1:6" s="58" customFormat="1" ht="17.25" customHeight="1">
      <c r="A23" s="81" t="s">
        <v>24</v>
      </c>
      <c r="B23" s="52" t="s">
        <v>210</v>
      </c>
      <c r="C23" s="312"/>
      <c r="D23" s="313"/>
      <c r="E23" s="313"/>
      <c r="F23" s="1117">
        <f t="shared" si="0"/>
        <v>0</v>
      </c>
    </row>
    <row r="24" spans="1:6" s="58" customFormat="1" ht="17.25" customHeight="1">
      <c r="A24" s="82" t="s">
        <v>25</v>
      </c>
      <c r="B24" s="40" t="s">
        <v>211</v>
      </c>
      <c r="C24" s="293"/>
      <c r="D24" s="297"/>
      <c r="E24" s="297"/>
      <c r="F24" s="1118">
        <f t="shared" si="0"/>
        <v>0</v>
      </c>
    </row>
    <row r="25" spans="1:6" s="58" customFormat="1" ht="17.25" customHeight="1">
      <c r="A25" s="82" t="s">
        <v>26</v>
      </c>
      <c r="B25" s="40" t="s">
        <v>212</v>
      </c>
      <c r="C25" s="294">
        <f>SUM(C26:C29)</f>
        <v>0</v>
      </c>
      <c r="D25" s="294">
        <f>SUM(D26:D29)</f>
        <v>0</v>
      </c>
      <c r="E25" s="898">
        <f>SUM(E26:E29)</f>
        <v>0</v>
      </c>
      <c r="F25" s="1118">
        <f t="shared" si="0"/>
        <v>0</v>
      </c>
    </row>
    <row r="26" spans="1:6" s="58" customFormat="1" ht="17.25" customHeight="1">
      <c r="A26" s="82" t="s">
        <v>27</v>
      </c>
      <c r="B26" s="40" t="s">
        <v>236</v>
      </c>
      <c r="C26" s="293"/>
      <c r="D26" s="297"/>
      <c r="E26" s="297"/>
      <c r="F26" s="1118">
        <f t="shared" si="0"/>
        <v>0</v>
      </c>
    </row>
    <row r="27" spans="1:6" s="58" customFormat="1" ht="17.25" customHeight="1">
      <c r="A27" s="82" t="s">
        <v>28</v>
      </c>
      <c r="B27" s="83" t="s">
        <v>233</v>
      </c>
      <c r="C27" s="293"/>
      <c r="D27" s="297"/>
      <c r="E27" s="297"/>
      <c r="F27" s="1118">
        <f t="shared" si="0"/>
        <v>0</v>
      </c>
    </row>
    <row r="28" spans="1:6" s="58" customFormat="1" ht="17.25" customHeight="1">
      <c r="A28" s="82" t="s">
        <v>33</v>
      </c>
      <c r="B28" s="83" t="s">
        <v>234</v>
      </c>
      <c r="C28" s="293"/>
      <c r="D28" s="297"/>
      <c r="E28" s="297"/>
      <c r="F28" s="1118">
        <f t="shared" si="0"/>
        <v>0</v>
      </c>
    </row>
    <row r="29" spans="1:6" s="58" customFormat="1" ht="17.25" customHeight="1" thickBot="1">
      <c r="A29" s="229" t="s">
        <v>34</v>
      </c>
      <c r="B29" s="314" t="s">
        <v>235</v>
      </c>
      <c r="C29" s="315"/>
      <c r="D29" s="316"/>
      <c r="E29" s="506"/>
      <c r="F29" s="1111">
        <f t="shared" si="0"/>
        <v>0</v>
      </c>
    </row>
    <row r="30" spans="1:6" s="58" customFormat="1" ht="17.25" customHeight="1" thickBot="1">
      <c r="A30" s="41" t="s">
        <v>73</v>
      </c>
      <c r="B30" s="42" t="s">
        <v>41</v>
      </c>
      <c r="C30" s="299"/>
      <c r="D30" s="306"/>
      <c r="E30" s="306"/>
      <c r="F30" s="290">
        <f t="shared" si="0"/>
        <v>0</v>
      </c>
    </row>
    <row r="31" spans="1:6" s="58" customFormat="1" ht="32.25" customHeight="1" thickBot="1">
      <c r="A31" s="41" t="s">
        <v>74</v>
      </c>
      <c r="B31" s="42" t="s">
        <v>213</v>
      </c>
      <c r="C31" s="288">
        <f>+C32+C33</f>
        <v>0</v>
      </c>
      <c r="D31" s="288">
        <f>+D32+D33</f>
        <v>0</v>
      </c>
      <c r="E31" s="289">
        <f>+E32+E33</f>
        <v>0</v>
      </c>
      <c r="F31" s="290">
        <f t="shared" si="0"/>
        <v>0</v>
      </c>
    </row>
    <row r="32" spans="1:6" s="58" customFormat="1" ht="17.25" customHeight="1">
      <c r="A32" s="84" t="s">
        <v>9</v>
      </c>
      <c r="B32" s="43" t="s">
        <v>211</v>
      </c>
      <c r="C32" s="300"/>
      <c r="D32" s="901"/>
      <c r="E32" s="901"/>
      <c r="F32" s="1226">
        <f t="shared" si="0"/>
        <v>0</v>
      </c>
    </row>
    <row r="33" spans="1:6" s="58" customFormat="1" ht="17.25" customHeight="1">
      <c r="A33" s="84" t="s">
        <v>10</v>
      </c>
      <c r="B33" s="44" t="s">
        <v>214</v>
      </c>
      <c r="C33" s="301">
        <f>SUM(C34:C37)</f>
        <v>0</v>
      </c>
      <c r="D33" s="301">
        <f>SUM(D34:D37)</f>
        <v>0</v>
      </c>
      <c r="E33" s="898">
        <f>SUM(E34:E37)</f>
        <v>0</v>
      </c>
      <c r="F33" s="1118">
        <f t="shared" si="0"/>
        <v>0</v>
      </c>
    </row>
    <row r="34" spans="1:6" s="58" customFormat="1" ht="17.25" customHeight="1">
      <c r="A34" s="84" t="s">
        <v>215</v>
      </c>
      <c r="B34" s="40" t="s">
        <v>237</v>
      </c>
      <c r="C34" s="302"/>
      <c r="D34" s="297"/>
      <c r="E34" s="297"/>
      <c r="F34" s="1118">
        <f t="shared" si="0"/>
        <v>0</v>
      </c>
    </row>
    <row r="35" spans="1:6" s="58" customFormat="1" ht="17.25" customHeight="1">
      <c r="A35" s="84" t="s">
        <v>238</v>
      </c>
      <c r="B35" s="83" t="s">
        <v>233</v>
      </c>
      <c r="C35" s="302"/>
      <c r="D35" s="297"/>
      <c r="E35" s="297"/>
      <c r="F35" s="1118">
        <f t="shared" si="0"/>
        <v>0</v>
      </c>
    </row>
    <row r="36" spans="1:6" s="58" customFormat="1" ht="17.25" customHeight="1">
      <c r="A36" s="84" t="s">
        <v>239</v>
      </c>
      <c r="B36" s="83" t="s">
        <v>234</v>
      </c>
      <c r="C36" s="302"/>
      <c r="D36" s="297"/>
      <c r="E36" s="297"/>
      <c r="F36" s="1118">
        <f t="shared" si="0"/>
        <v>0</v>
      </c>
    </row>
    <row r="37" spans="1:6" s="58" customFormat="1" ht="17.25" customHeight="1" thickBot="1">
      <c r="A37" s="318" t="s">
        <v>240</v>
      </c>
      <c r="B37" s="314" t="s">
        <v>235</v>
      </c>
      <c r="C37" s="1298"/>
      <c r="D37" s="316"/>
      <c r="E37" s="316"/>
      <c r="F37" s="1123">
        <f t="shared" si="0"/>
        <v>0</v>
      </c>
    </row>
    <row r="38" spans="1:6" s="58" customFormat="1" ht="17.25" customHeight="1" thickBot="1">
      <c r="A38" s="41" t="s">
        <v>75</v>
      </c>
      <c r="B38" s="42" t="s">
        <v>216</v>
      </c>
      <c r="C38" s="288">
        <f>+C39+C40+C41</f>
        <v>0</v>
      </c>
      <c r="D38" s="288">
        <f>+D39+D40+D41</f>
        <v>0</v>
      </c>
      <c r="E38" s="289">
        <f>+E39+E40+E41</f>
        <v>0</v>
      </c>
      <c r="F38" s="290">
        <f t="shared" si="0"/>
        <v>0</v>
      </c>
    </row>
    <row r="39" spans="1:6" s="58" customFormat="1" ht="17.25" customHeight="1">
      <c r="A39" s="84" t="s">
        <v>11</v>
      </c>
      <c r="B39" s="43" t="s">
        <v>217</v>
      </c>
      <c r="C39" s="300"/>
      <c r="D39" s="901"/>
      <c r="E39" s="901"/>
      <c r="F39" s="1226">
        <f t="shared" si="0"/>
        <v>0</v>
      </c>
    </row>
    <row r="40" spans="1:6" s="58" customFormat="1" ht="17.25" customHeight="1">
      <c r="A40" s="84" t="s">
        <v>12</v>
      </c>
      <c r="B40" s="47" t="s">
        <v>218</v>
      </c>
      <c r="C40" s="303"/>
      <c r="D40" s="297"/>
      <c r="E40" s="297"/>
      <c r="F40" s="1118">
        <f t="shared" si="0"/>
        <v>0</v>
      </c>
    </row>
    <row r="41" spans="1:6" s="58" customFormat="1" ht="17.25" customHeight="1" thickBot="1">
      <c r="A41" s="229" t="s">
        <v>13</v>
      </c>
      <c r="B41" s="54" t="s">
        <v>219</v>
      </c>
      <c r="C41" s="1298"/>
      <c r="D41" s="316"/>
      <c r="E41" s="316"/>
      <c r="F41" s="1123">
        <f t="shared" si="0"/>
        <v>0</v>
      </c>
    </row>
    <row r="42" spans="1:6" s="75" customFormat="1" ht="17.25" customHeight="1" thickBot="1">
      <c r="A42" s="41" t="s">
        <v>76</v>
      </c>
      <c r="B42" s="42" t="s">
        <v>220</v>
      </c>
      <c r="C42" s="299"/>
      <c r="D42" s="308"/>
      <c r="E42" s="308"/>
      <c r="F42" s="290">
        <f t="shared" si="0"/>
        <v>0</v>
      </c>
    </row>
    <row r="43" spans="1:6" s="75" customFormat="1" ht="17.25" customHeight="1" thickBot="1">
      <c r="A43" s="283" t="s">
        <v>77</v>
      </c>
      <c r="B43" s="284" t="s">
        <v>221</v>
      </c>
      <c r="C43" s="307"/>
      <c r="D43" s="292"/>
      <c r="E43" s="907"/>
      <c r="F43" s="1111">
        <f t="shared" si="0"/>
        <v>0</v>
      </c>
    </row>
    <row r="44" spans="1:6" s="75" customFormat="1" ht="17.25" customHeight="1" thickBot="1">
      <c r="A44" s="37" t="s">
        <v>78</v>
      </c>
      <c r="B44" s="42" t="s">
        <v>222</v>
      </c>
      <c r="C44" s="304">
        <f>+C8+C22+C30+C31+C38+C42+C43</f>
        <v>23550</v>
      </c>
      <c r="D44" s="288">
        <f>+D8+D22+D30+D31+D38+D42+D43</f>
        <v>23550</v>
      </c>
      <c r="E44" s="288">
        <f>+E8+E22+E30+E31+E38+E42+E43</f>
        <v>0</v>
      </c>
      <c r="F44" s="290">
        <f t="shared" si="0"/>
        <v>23550</v>
      </c>
    </row>
    <row r="45" spans="1:6" s="75" customFormat="1" ht="17.25" customHeight="1" thickBot="1">
      <c r="A45" s="1132" t="s">
        <v>79</v>
      </c>
      <c r="B45" s="1125" t="s">
        <v>223</v>
      </c>
      <c r="C45" s="1114">
        <f>+C46+C47+C48</f>
        <v>40419</v>
      </c>
      <c r="D45" s="1114">
        <f>+D46+D47+D48</f>
        <v>43423</v>
      </c>
      <c r="E45" s="1114">
        <f>+E46+E47+E48</f>
        <v>263</v>
      </c>
      <c r="F45" s="1110">
        <f t="shared" si="0"/>
        <v>43686</v>
      </c>
    </row>
    <row r="46" spans="1:6" s="75" customFormat="1" ht="17.25" customHeight="1">
      <c r="A46" s="81" t="s">
        <v>224</v>
      </c>
      <c r="B46" s="228" t="s">
        <v>111</v>
      </c>
      <c r="C46" s="317"/>
      <c r="D46" s="499">
        <v>377</v>
      </c>
      <c r="E46" s="500"/>
      <c r="F46" s="1177">
        <f t="shared" si="0"/>
        <v>377</v>
      </c>
    </row>
    <row r="47" spans="1:6" s="75" customFormat="1" ht="17.25" customHeight="1">
      <c r="A47" s="84" t="s">
        <v>225</v>
      </c>
      <c r="B47" s="47" t="s">
        <v>226</v>
      </c>
      <c r="C47" s="302"/>
      <c r="D47" s="295"/>
      <c r="E47" s="502"/>
      <c r="F47" s="1176">
        <f t="shared" si="0"/>
        <v>0</v>
      </c>
    </row>
    <row r="48" spans="1:6" s="58" customFormat="1" ht="17.25" customHeight="1">
      <c r="A48" s="319" t="s">
        <v>227</v>
      </c>
      <c r="B48" s="320" t="s">
        <v>228</v>
      </c>
      <c r="C48" s="503">
        <f>SUM(C49:C50)</f>
        <v>40419</v>
      </c>
      <c r="D48" s="503">
        <f>SUM(D49:D50)</f>
        <v>43046</v>
      </c>
      <c r="E48" s="899">
        <f>SUM(E49:E50)</f>
        <v>263</v>
      </c>
      <c r="F48" s="1228">
        <f t="shared" si="0"/>
        <v>43309</v>
      </c>
    </row>
    <row r="49" spans="1:6" s="58" customFormat="1" ht="17.25" customHeight="1">
      <c r="A49" s="82" t="s">
        <v>241</v>
      </c>
      <c r="B49" s="47" t="s">
        <v>243</v>
      </c>
      <c r="C49" s="504">
        <f>24081+2145</f>
        <v>26226</v>
      </c>
      <c r="D49" s="505">
        <v>28813</v>
      </c>
      <c r="E49" s="505">
        <v>263</v>
      </c>
      <c r="F49" s="1176">
        <f t="shared" si="0"/>
        <v>29076</v>
      </c>
    </row>
    <row r="50" spans="1:6" s="58" customFormat="1" ht="17.25" customHeight="1" thickBot="1">
      <c r="A50" s="318" t="s">
        <v>242</v>
      </c>
      <c r="B50" s="87" t="s">
        <v>244</v>
      </c>
      <c r="C50" s="516">
        <f>16338-2145</f>
        <v>14193</v>
      </c>
      <c r="D50" s="506">
        <v>14233</v>
      </c>
      <c r="E50" s="506"/>
      <c r="F50" s="1225">
        <f t="shared" si="0"/>
        <v>14233</v>
      </c>
    </row>
    <row r="51" spans="1:6" s="58" customFormat="1" ht="20.25" customHeight="1" thickBot="1">
      <c r="A51" s="1247" t="s">
        <v>80</v>
      </c>
      <c r="B51" s="1299" t="s">
        <v>229</v>
      </c>
      <c r="C51" s="1300">
        <f>+C44+C45</f>
        <v>63969</v>
      </c>
      <c r="D51" s="1301">
        <f>+D44+D45</f>
        <v>66973</v>
      </c>
      <c r="E51" s="936">
        <f>+E44+E45</f>
        <v>263</v>
      </c>
      <c r="F51" s="1111">
        <f t="shared" si="0"/>
        <v>67236</v>
      </c>
    </row>
    <row r="52" spans="1:6" ht="16.5" thickBot="1">
      <c r="A52" s="88"/>
      <c r="B52" s="89"/>
      <c r="C52" s="90"/>
    </row>
    <row r="53" spans="1:6" s="74" customFormat="1" ht="34.5" customHeight="1" thickBot="1">
      <c r="A53" s="916"/>
      <c r="B53" s="1302" t="s">
        <v>2</v>
      </c>
      <c r="C53" s="917" t="s">
        <v>104</v>
      </c>
      <c r="D53" s="918" t="s">
        <v>471</v>
      </c>
      <c r="E53" s="915" t="s">
        <v>618</v>
      </c>
      <c r="F53" s="915" t="s">
        <v>471</v>
      </c>
    </row>
    <row r="54" spans="1:6" s="76" customFormat="1" ht="18.75" customHeight="1" thickBot="1">
      <c r="A54" s="37" t="s">
        <v>71</v>
      </c>
      <c r="B54" s="91" t="s">
        <v>230</v>
      </c>
      <c r="C54" s="235">
        <f>SUM(C55:C59)</f>
        <v>63969</v>
      </c>
      <c r="D54" s="235">
        <f>SUM(D55:D59)</f>
        <v>66973</v>
      </c>
      <c r="E54" s="235">
        <f>SUM(E55:E59)</f>
        <v>-143</v>
      </c>
      <c r="F54" s="1230">
        <f>D54+E54</f>
        <v>66830</v>
      </c>
    </row>
    <row r="55" spans="1:6" ht="18.75" customHeight="1">
      <c r="A55" s="919" t="s">
        <v>18</v>
      </c>
      <c r="B55" s="39" t="s">
        <v>98</v>
      </c>
      <c r="C55" s="1303">
        <v>31921</v>
      </c>
      <c r="D55" s="287">
        <v>34246</v>
      </c>
      <c r="E55" s="913">
        <v>396</v>
      </c>
      <c r="F55" s="1174">
        <f t="shared" ref="F55:F64" si="1">D55+E55</f>
        <v>34642</v>
      </c>
    </row>
    <row r="56" spans="1:6" ht="18.75" customHeight="1">
      <c r="A56" s="92" t="s">
        <v>19</v>
      </c>
      <c r="B56" s="40" t="s">
        <v>53</v>
      </c>
      <c r="C56" s="222">
        <v>8454</v>
      </c>
      <c r="D56" s="287">
        <v>9106</v>
      </c>
      <c r="E56" s="912">
        <v>-133</v>
      </c>
      <c r="F56" s="1173">
        <f t="shared" si="1"/>
        <v>8973</v>
      </c>
    </row>
    <row r="57" spans="1:6" ht="18.75" customHeight="1">
      <c r="A57" s="92" t="s">
        <v>20</v>
      </c>
      <c r="B57" s="40" t="s">
        <v>35</v>
      </c>
      <c r="C57" s="222">
        <v>23594</v>
      </c>
      <c r="D57" s="287">
        <v>23621</v>
      </c>
      <c r="E57" s="913">
        <v>-406</v>
      </c>
      <c r="F57" s="1173">
        <f t="shared" si="1"/>
        <v>23215</v>
      </c>
    </row>
    <row r="58" spans="1:6" ht="18.75" customHeight="1">
      <c r="A58" s="92" t="s">
        <v>21</v>
      </c>
      <c r="B58" s="40" t="s">
        <v>54</v>
      </c>
      <c r="C58" s="261"/>
      <c r="D58" s="287"/>
      <c r="E58" s="513"/>
      <c r="F58" s="1173">
        <f t="shared" si="1"/>
        <v>0</v>
      </c>
    </row>
    <row r="59" spans="1:6" ht="18.75" customHeight="1" thickBot="1">
      <c r="A59" s="920" t="s">
        <v>36</v>
      </c>
      <c r="B59" s="236" t="s">
        <v>55</v>
      </c>
      <c r="C59" s="924"/>
      <c r="D59" s="237"/>
      <c r="E59" s="922"/>
      <c r="F59" s="1175">
        <f t="shared" si="1"/>
        <v>0</v>
      </c>
    </row>
    <row r="60" spans="1:6" ht="18.75" customHeight="1" thickBot="1">
      <c r="A60" s="37" t="s">
        <v>72</v>
      </c>
      <c r="B60" s="91" t="s">
        <v>231</v>
      </c>
      <c r="C60" s="268">
        <f>SUM(C61:C63)</f>
        <v>0</v>
      </c>
      <c r="D60" s="268">
        <f>SUM(D61:D63)</f>
        <v>0</v>
      </c>
      <c r="E60" s="268">
        <v>406</v>
      </c>
      <c r="F60" s="1171">
        <f t="shared" si="1"/>
        <v>406</v>
      </c>
    </row>
    <row r="61" spans="1:6" s="76" customFormat="1" ht="18.75" customHeight="1">
      <c r="A61" s="919" t="s">
        <v>24</v>
      </c>
      <c r="B61" s="39" t="s">
        <v>108</v>
      </c>
      <c r="C61" s="269"/>
      <c r="D61" s="238"/>
      <c r="E61" s="923">
        <v>406</v>
      </c>
      <c r="F61" s="1174">
        <f t="shared" si="1"/>
        <v>406</v>
      </c>
    </row>
    <row r="62" spans="1:6" ht="18.75" customHeight="1">
      <c r="A62" s="92" t="s">
        <v>25</v>
      </c>
      <c r="B62" s="40" t="s">
        <v>56</v>
      </c>
      <c r="C62" s="261"/>
      <c r="D62" s="221"/>
      <c r="E62" s="914"/>
      <c r="F62" s="1173">
        <f t="shared" si="1"/>
        <v>0</v>
      </c>
    </row>
    <row r="63" spans="1:6" ht="18.75" customHeight="1" thickBot="1">
      <c r="A63" s="920" t="s">
        <v>26</v>
      </c>
      <c r="B63" s="236" t="s">
        <v>3</v>
      </c>
      <c r="C63" s="924"/>
      <c r="D63" s="237"/>
      <c r="E63" s="925"/>
      <c r="F63" s="1175">
        <f t="shared" si="1"/>
        <v>0</v>
      </c>
    </row>
    <row r="64" spans="1:6" ht="19.5" customHeight="1" thickBot="1">
      <c r="A64" s="37" t="s">
        <v>73</v>
      </c>
      <c r="B64" s="46" t="s">
        <v>232</v>
      </c>
      <c r="C64" s="235">
        <f>+C54+C60</f>
        <v>63969</v>
      </c>
      <c r="D64" s="235">
        <f>+D54+D60</f>
        <v>66973</v>
      </c>
      <c r="E64" s="235">
        <f>+E54+E60</f>
        <v>263</v>
      </c>
      <c r="F64" s="379">
        <f t="shared" si="1"/>
        <v>67236</v>
      </c>
    </row>
    <row r="65" spans="1:6" ht="15.75" customHeight="1" thickBot="1">
      <c r="A65" s="88"/>
      <c r="B65" s="89"/>
      <c r="C65" s="90"/>
    </row>
    <row r="66" spans="1:6" ht="15.75" customHeight="1">
      <c r="A66" s="926" t="s">
        <v>60</v>
      </c>
      <c r="B66" s="927"/>
      <c r="C66" s="928">
        <v>19</v>
      </c>
      <c r="D66" s="1304">
        <v>19</v>
      </c>
      <c r="E66" s="1304"/>
      <c r="F66" s="1305">
        <f>D66+E66</f>
        <v>19</v>
      </c>
    </row>
    <row r="67" spans="1:6" ht="15.75" customHeight="1" thickBot="1">
      <c r="A67" s="929" t="s">
        <v>61</v>
      </c>
      <c r="B67" s="930"/>
      <c r="C67" s="931"/>
      <c r="D67" s="285"/>
      <c r="E67" s="285"/>
      <c r="F67" s="1306">
        <f>D67+E67</f>
        <v>0</v>
      </c>
    </row>
  </sheetData>
  <sheetProtection formatCells="0"/>
  <mergeCells count="4">
    <mergeCell ref="A2:A3"/>
    <mergeCell ref="B2:B3"/>
    <mergeCell ref="C2:F3"/>
    <mergeCell ref="A7:F7"/>
  </mergeCells>
  <printOptions horizontalCentered="1"/>
  <pageMargins left="0.31496062992125984" right="0.31496062992125984" top="0.98425196850393704" bottom="0.59055118110236227" header="0.59055118110236227" footer="0.59055118110236227"/>
  <pageSetup paperSize="9" scale="58" orientation="portrait" verticalDpi="300" r:id="rId1"/>
  <headerFooter alignWithMargins="0">
    <oddHeader>&amp;R&amp;"Times New Roman CE,Dőlt"&amp;14 13.2 melléklet a ..../2014. (...)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67"/>
  <sheetViews>
    <sheetView topLeftCell="A46" zoomScale="93" zoomScaleNormal="93" workbookViewId="0">
      <selection activeCell="J70" sqref="J70"/>
    </sheetView>
  </sheetViews>
  <sheetFormatPr defaultRowHeight="12.75"/>
  <cols>
    <col min="1" max="1" width="13.83203125" style="77" customWidth="1"/>
    <col min="2" max="2" width="79.1640625" style="73" customWidth="1"/>
    <col min="3" max="3" width="16.5" style="73" customWidth="1"/>
    <col min="4" max="4" width="16" style="73" customWidth="1"/>
    <col min="5" max="5" width="16.83203125" style="73" customWidth="1"/>
    <col min="6" max="6" width="17" style="73" customWidth="1"/>
    <col min="7" max="16384" width="9.33203125" style="73"/>
  </cols>
  <sheetData>
    <row r="1" spans="1:6" s="11" customFormat="1" ht="21" customHeight="1" thickBot="1">
      <c r="A1" s="10"/>
      <c r="B1" s="68"/>
      <c r="C1" s="69"/>
    </row>
    <row r="2" spans="1:6" s="70" customFormat="1" ht="21.75" customHeight="1">
      <c r="A2" s="1599"/>
      <c r="B2" s="1666" t="s">
        <v>247</v>
      </c>
      <c r="C2" s="1681" t="s">
        <v>245</v>
      </c>
      <c r="D2" s="1682"/>
      <c r="E2" s="1682"/>
      <c r="F2" s="1683"/>
    </row>
    <row r="3" spans="1:6" s="70" customFormat="1" ht="16.5" thickBot="1">
      <c r="A3" s="1600"/>
      <c r="B3" s="1667"/>
      <c r="C3" s="1684"/>
      <c r="D3" s="1685"/>
      <c r="E3" s="1685"/>
      <c r="F3" s="1686"/>
    </row>
    <row r="4" spans="1:6" s="72" customFormat="1" ht="15.75" customHeight="1" thickBot="1">
      <c r="A4" s="70"/>
      <c r="B4" s="70"/>
      <c r="F4" s="71" t="s">
        <v>106</v>
      </c>
    </row>
    <row r="5" spans="1:6" ht="32.25" customHeight="1" thickBot="1">
      <c r="A5" s="78" t="s">
        <v>59</v>
      </c>
      <c r="B5" s="79" t="s">
        <v>0</v>
      </c>
      <c r="C5" s="202" t="s">
        <v>104</v>
      </c>
      <c r="D5" s="203" t="s">
        <v>471</v>
      </c>
      <c r="E5" s="895" t="s">
        <v>618</v>
      </c>
      <c r="F5" s="895" t="s">
        <v>471</v>
      </c>
    </row>
    <row r="6" spans="1:6" s="74" customFormat="1" ht="12.95" customHeight="1" thickBot="1">
      <c r="A6" s="230">
        <v>1</v>
      </c>
      <c r="B6" s="231">
        <v>2</v>
      </c>
      <c r="C6" s="272">
        <v>3</v>
      </c>
      <c r="D6" s="230">
        <v>4</v>
      </c>
      <c r="E6" s="731">
        <v>5</v>
      </c>
      <c r="F6" s="894">
        <v>6</v>
      </c>
    </row>
    <row r="7" spans="1:6" s="74" customFormat="1" ht="24.75" customHeight="1" thickBot="1">
      <c r="A7" s="1657" t="s">
        <v>1</v>
      </c>
      <c r="B7" s="1658"/>
      <c r="C7" s="1658"/>
      <c r="D7" s="1658"/>
      <c r="E7" s="1658"/>
      <c r="F7" s="1658"/>
    </row>
    <row r="8" spans="1:6" s="75" customFormat="1" ht="17.25" customHeight="1" thickBot="1">
      <c r="A8" s="37" t="s">
        <v>71</v>
      </c>
      <c r="B8" s="38" t="s">
        <v>198</v>
      </c>
      <c r="C8" s="289">
        <f>SUM(C9+C10+C14+C15+C16+C17+C18+C19+C20+C21)</f>
        <v>27503</v>
      </c>
      <c r="D8" s="289">
        <f>SUM(D9+D10+D14+D15+D16+D17+D18+D19+D20+D21)</f>
        <v>27503</v>
      </c>
      <c r="E8" s="289">
        <f>SUM(E9+E10+E14+E15+E16+E17+E18+E19+E20+E21)</f>
        <v>0</v>
      </c>
      <c r="F8" s="290">
        <f>D8+E8</f>
        <v>27503</v>
      </c>
    </row>
    <row r="9" spans="1:6" s="75" customFormat="1" ht="17.25" customHeight="1">
      <c r="A9" s="84" t="s">
        <v>18</v>
      </c>
      <c r="B9" s="39" t="s">
        <v>199</v>
      </c>
      <c r="C9" s="291"/>
      <c r="D9" s="762"/>
      <c r="E9" s="762"/>
      <c r="F9" s="1269">
        <f t="shared" ref="F9:F51" si="0">D9+E9</f>
        <v>0</v>
      </c>
    </row>
    <row r="10" spans="1:6" s="75" customFormat="1" ht="17.25" customHeight="1">
      <c r="A10" s="82" t="s">
        <v>19</v>
      </c>
      <c r="B10" s="40" t="s">
        <v>200</v>
      </c>
      <c r="C10" s="293">
        <f>SUM(C11:C13)</f>
        <v>21188</v>
      </c>
      <c r="D10" s="293">
        <f>SUM(D11:D13)</f>
        <v>21188</v>
      </c>
      <c r="E10" s="897">
        <f>SUM(E11:E13)</f>
        <v>-506</v>
      </c>
      <c r="F10" s="1176">
        <f t="shared" si="0"/>
        <v>20682</v>
      </c>
    </row>
    <row r="11" spans="1:6" s="75" customFormat="1" ht="17.25" customHeight="1">
      <c r="A11" s="82" t="s">
        <v>57</v>
      </c>
      <c r="B11" s="515" t="s">
        <v>249</v>
      </c>
      <c r="C11" s="763"/>
      <c r="D11" s="764"/>
      <c r="E11" s="764"/>
      <c r="F11" s="1176">
        <f t="shared" si="0"/>
        <v>0</v>
      </c>
    </row>
    <row r="12" spans="1:6" s="75" customFormat="1" ht="17.25" customHeight="1">
      <c r="A12" s="82" t="s">
        <v>58</v>
      </c>
      <c r="B12" s="515" t="s">
        <v>250</v>
      </c>
      <c r="C12" s="763">
        <v>5050</v>
      </c>
      <c r="D12" s="764">
        <v>5050</v>
      </c>
      <c r="E12" s="764"/>
      <c r="F12" s="1176">
        <f t="shared" si="0"/>
        <v>5050</v>
      </c>
    </row>
    <row r="13" spans="1:6" s="75" customFormat="1" ht="17.25" customHeight="1">
      <c r="A13" s="82" t="s">
        <v>248</v>
      </c>
      <c r="B13" s="515" t="s">
        <v>251</v>
      </c>
      <c r="C13" s="763">
        <v>16138</v>
      </c>
      <c r="D13" s="764">
        <v>16138</v>
      </c>
      <c r="E13" s="764">
        <v>-506</v>
      </c>
      <c r="F13" s="1228">
        <f t="shared" si="0"/>
        <v>15632</v>
      </c>
    </row>
    <row r="14" spans="1:6" s="75" customFormat="1" ht="17.25" customHeight="1">
      <c r="A14" s="82" t="s">
        <v>20</v>
      </c>
      <c r="B14" s="40" t="s">
        <v>201</v>
      </c>
      <c r="C14" s="510"/>
      <c r="D14" s="765"/>
      <c r="E14" s="765">
        <v>7</v>
      </c>
      <c r="F14" s="1176">
        <f t="shared" si="0"/>
        <v>7</v>
      </c>
    </row>
    <row r="15" spans="1:6" s="75" customFormat="1" ht="17.25" customHeight="1">
      <c r="A15" s="82" t="s">
        <v>21</v>
      </c>
      <c r="B15" s="40" t="s">
        <v>202</v>
      </c>
      <c r="C15" s="510"/>
      <c r="D15" s="765"/>
      <c r="E15" s="765"/>
      <c r="F15" s="1176">
        <f t="shared" si="0"/>
        <v>0</v>
      </c>
    </row>
    <row r="16" spans="1:6" s="75" customFormat="1" ht="17.25" customHeight="1">
      <c r="A16" s="82" t="s">
        <v>36</v>
      </c>
      <c r="B16" s="40" t="s">
        <v>203</v>
      </c>
      <c r="C16" s="510"/>
      <c r="D16" s="765"/>
      <c r="E16" s="765"/>
      <c r="F16" s="1176">
        <f t="shared" si="0"/>
        <v>0</v>
      </c>
    </row>
    <row r="17" spans="1:6" s="75" customFormat="1" ht="17.25" customHeight="1">
      <c r="A17" s="82" t="s">
        <v>22</v>
      </c>
      <c r="B17" s="40" t="s">
        <v>204</v>
      </c>
      <c r="C17" s="510">
        <v>3915</v>
      </c>
      <c r="D17" s="765">
        <v>3915</v>
      </c>
      <c r="E17" s="765"/>
      <c r="F17" s="1176">
        <f t="shared" si="0"/>
        <v>3915</v>
      </c>
    </row>
    <row r="18" spans="1:6" s="75" customFormat="1" ht="17.25" customHeight="1">
      <c r="A18" s="82" t="s">
        <v>23</v>
      </c>
      <c r="B18" s="53" t="s">
        <v>205</v>
      </c>
      <c r="C18" s="510">
        <v>2400</v>
      </c>
      <c r="D18" s="765">
        <v>2400</v>
      </c>
      <c r="E18" s="765"/>
      <c r="F18" s="1176">
        <f t="shared" si="0"/>
        <v>2400</v>
      </c>
    </row>
    <row r="19" spans="1:6" s="75" customFormat="1" ht="17.25" customHeight="1">
      <c r="A19" s="82" t="s">
        <v>30</v>
      </c>
      <c r="B19" s="40" t="s">
        <v>206</v>
      </c>
      <c r="C19" s="296"/>
      <c r="D19" s="766"/>
      <c r="E19" s="766"/>
      <c r="F19" s="1176">
        <f t="shared" si="0"/>
        <v>0</v>
      </c>
    </row>
    <row r="20" spans="1:6" s="58" customFormat="1" ht="17.25" customHeight="1">
      <c r="A20" s="82" t="s">
        <v>31</v>
      </c>
      <c r="B20" s="40" t="s">
        <v>207</v>
      </c>
      <c r="C20" s="293"/>
      <c r="D20" s="766"/>
      <c r="E20" s="766"/>
      <c r="F20" s="1176">
        <f t="shared" si="0"/>
        <v>0</v>
      </c>
    </row>
    <row r="21" spans="1:6" s="58" customFormat="1" ht="17.25" customHeight="1" thickBot="1">
      <c r="A21" s="229" t="s">
        <v>32</v>
      </c>
      <c r="B21" s="1119" t="s">
        <v>208</v>
      </c>
      <c r="C21" s="395"/>
      <c r="D21" s="1121"/>
      <c r="E21" s="1121">
        <v>499</v>
      </c>
      <c r="F21" s="1225">
        <f t="shared" si="0"/>
        <v>499</v>
      </c>
    </row>
    <row r="22" spans="1:6" s="75" customFormat="1" ht="34.5" customHeight="1" thickBot="1">
      <c r="A22" s="37" t="s">
        <v>72</v>
      </c>
      <c r="B22" s="38" t="s">
        <v>209</v>
      </c>
      <c r="C22" s="288">
        <f>SUM(C23:C25)</f>
        <v>0</v>
      </c>
      <c r="D22" s="288">
        <f>SUM(D23:D25)</f>
        <v>1720</v>
      </c>
      <c r="E22" s="289">
        <f>SUM(E23:E25)</f>
        <v>502</v>
      </c>
      <c r="F22" s="290">
        <f t="shared" si="0"/>
        <v>2222</v>
      </c>
    </row>
    <row r="23" spans="1:6" s="58" customFormat="1" ht="17.25" customHeight="1">
      <c r="A23" s="84" t="s">
        <v>24</v>
      </c>
      <c r="B23" s="39" t="s">
        <v>210</v>
      </c>
      <c r="C23" s="291"/>
      <c r="D23" s="901"/>
      <c r="E23" s="901"/>
      <c r="F23" s="1269">
        <f t="shared" si="0"/>
        <v>0</v>
      </c>
    </row>
    <row r="24" spans="1:6" s="58" customFormat="1" ht="17.25" customHeight="1">
      <c r="A24" s="82" t="s">
        <v>25</v>
      </c>
      <c r="B24" s="40" t="s">
        <v>211</v>
      </c>
      <c r="C24" s="293"/>
      <c r="D24" s="297"/>
      <c r="E24" s="297"/>
      <c r="F24" s="1176">
        <f t="shared" si="0"/>
        <v>0</v>
      </c>
    </row>
    <row r="25" spans="1:6" s="58" customFormat="1" ht="17.25" customHeight="1">
      <c r="A25" s="82" t="s">
        <v>26</v>
      </c>
      <c r="B25" s="40" t="s">
        <v>212</v>
      </c>
      <c r="C25" s="294">
        <f>SUM(C26:C29)</f>
        <v>0</v>
      </c>
      <c r="D25" s="294">
        <f>SUM(D26:D29)</f>
        <v>1720</v>
      </c>
      <c r="E25" s="898">
        <f>SUM(E26:E29)</f>
        <v>502</v>
      </c>
      <c r="F25" s="1228">
        <f t="shared" si="0"/>
        <v>2222</v>
      </c>
    </row>
    <row r="26" spans="1:6" s="58" customFormat="1" ht="17.25" customHeight="1">
      <c r="A26" s="82" t="s">
        <v>27</v>
      </c>
      <c r="B26" s="40" t="s">
        <v>236</v>
      </c>
      <c r="C26" s="293"/>
      <c r="D26" s="297"/>
      <c r="E26" s="297"/>
      <c r="F26" s="1176">
        <f t="shared" si="0"/>
        <v>0</v>
      </c>
    </row>
    <row r="27" spans="1:6" s="58" customFormat="1" ht="17.25" customHeight="1">
      <c r="A27" s="82" t="s">
        <v>28</v>
      </c>
      <c r="B27" s="83" t="s">
        <v>233</v>
      </c>
      <c r="C27" s="293"/>
      <c r="D27" s="297">
        <v>420</v>
      </c>
      <c r="E27" s="297">
        <v>202</v>
      </c>
      <c r="F27" s="1176">
        <f t="shared" si="0"/>
        <v>622</v>
      </c>
    </row>
    <row r="28" spans="1:6" s="58" customFormat="1" ht="17.25" customHeight="1">
      <c r="A28" s="82" t="s">
        <v>33</v>
      </c>
      <c r="B28" s="83" t="s">
        <v>234</v>
      </c>
      <c r="C28" s="293"/>
      <c r="D28" s="297"/>
      <c r="E28" s="297"/>
      <c r="F28" s="1176">
        <f t="shared" si="0"/>
        <v>0</v>
      </c>
    </row>
    <row r="29" spans="1:6" s="58" customFormat="1" ht="17.25" customHeight="1" thickBot="1">
      <c r="A29" s="229" t="s">
        <v>34</v>
      </c>
      <c r="B29" s="314" t="s">
        <v>235</v>
      </c>
      <c r="C29" s="315"/>
      <c r="D29" s="316">
        <v>1300</v>
      </c>
      <c r="E29" s="506">
        <v>300</v>
      </c>
      <c r="F29" s="1225">
        <f t="shared" si="0"/>
        <v>1600</v>
      </c>
    </row>
    <row r="30" spans="1:6" s="58" customFormat="1" ht="17.25" customHeight="1" thickBot="1">
      <c r="A30" s="41" t="s">
        <v>73</v>
      </c>
      <c r="B30" s="42" t="s">
        <v>41</v>
      </c>
      <c r="C30" s="299"/>
      <c r="D30" s="306"/>
      <c r="E30" s="306"/>
      <c r="F30" s="1214">
        <f t="shared" si="0"/>
        <v>0</v>
      </c>
    </row>
    <row r="31" spans="1:6" s="58" customFormat="1" ht="31.5" customHeight="1" thickBot="1">
      <c r="A31" s="41" t="s">
        <v>74</v>
      </c>
      <c r="B31" s="42" t="s">
        <v>213</v>
      </c>
      <c r="C31" s="288">
        <f>+C32+C33</f>
        <v>0</v>
      </c>
      <c r="D31" s="288">
        <f>+D32+D33</f>
        <v>0</v>
      </c>
      <c r="E31" s="289">
        <f>+E32+E33</f>
        <v>0</v>
      </c>
      <c r="F31" s="290">
        <f t="shared" si="0"/>
        <v>0</v>
      </c>
    </row>
    <row r="32" spans="1:6" s="58" customFormat="1" ht="17.25" customHeight="1">
      <c r="A32" s="84" t="s">
        <v>9</v>
      </c>
      <c r="B32" s="43" t="s">
        <v>211</v>
      </c>
      <c r="C32" s="300"/>
      <c r="D32" s="901"/>
      <c r="E32" s="901"/>
      <c r="F32" s="1226">
        <f t="shared" si="0"/>
        <v>0</v>
      </c>
    </row>
    <row r="33" spans="1:6" s="58" customFormat="1" ht="17.25" customHeight="1">
      <c r="A33" s="84" t="s">
        <v>10</v>
      </c>
      <c r="B33" s="44" t="s">
        <v>214</v>
      </c>
      <c r="C33" s="301">
        <f>SUM(C34:C37)</f>
        <v>0</v>
      </c>
      <c r="D33" s="301">
        <f>SUM(D34:D37)</f>
        <v>0</v>
      </c>
      <c r="E33" s="898">
        <f>SUM(E34:E37)</f>
        <v>0</v>
      </c>
      <c r="F33" s="1118">
        <f t="shared" si="0"/>
        <v>0</v>
      </c>
    </row>
    <row r="34" spans="1:6" s="58" customFormat="1" ht="17.25" customHeight="1">
      <c r="A34" s="84" t="s">
        <v>215</v>
      </c>
      <c r="B34" s="40" t="s">
        <v>237</v>
      </c>
      <c r="C34" s="302"/>
      <c r="D34" s="297"/>
      <c r="E34" s="297"/>
      <c r="F34" s="1118">
        <f t="shared" si="0"/>
        <v>0</v>
      </c>
    </row>
    <row r="35" spans="1:6" s="58" customFormat="1" ht="17.25" customHeight="1">
      <c r="A35" s="84" t="s">
        <v>238</v>
      </c>
      <c r="B35" s="83" t="s">
        <v>233</v>
      </c>
      <c r="C35" s="302"/>
      <c r="D35" s="297"/>
      <c r="E35" s="297"/>
      <c r="F35" s="1118">
        <f t="shared" si="0"/>
        <v>0</v>
      </c>
    </row>
    <row r="36" spans="1:6" s="58" customFormat="1" ht="17.25" customHeight="1">
      <c r="A36" s="84" t="s">
        <v>239</v>
      </c>
      <c r="B36" s="83" t="s">
        <v>234</v>
      </c>
      <c r="C36" s="302"/>
      <c r="D36" s="297"/>
      <c r="E36" s="297"/>
      <c r="F36" s="1118">
        <f t="shared" si="0"/>
        <v>0</v>
      </c>
    </row>
    <row r="37" spans="1:6" s="58" customFormat="1" ht="17.25" customHeight="1" thickBot="1">
      <c r="A37" s="318" t="s">
        <v>240</v>
      </c>
      <c r="B37" s="314" t="s">
        <v>235</v>
      </c>
      <c r="C37" s="1298"/>
      <c r="D37" s="316"/>
      <c r="E37" s="316"/>
      <c r="F37" s="1111">
        <f t="shared" si="0"/>
        <v>0</v>
      </c>
    </row>
    <row r="38" spans="1:6" s="58" customFormat="1" ht="17.25" customHeight="1" thickBot="1">
      <c r="A38" s="41" t="s">
        <v>75</v>
      </c>
      <c r="B38" s="42" t="s">
        <v>216</v>
      </c>
      <c r="C38" s="288">
        <f>+C39+C40+C41</f>
        <v>0</v>
      </c>
      <c r="D38" s="288">
        <f>+D39+D40+D41</f>
        <v>0</v>
      </c>
      <c r="E38" s="289">
        <f>+E39+E40+E41</f>
        <v>0</v>
      </c>
      <c r="F38" s="290">
        <f t="shared" si="0"/>
        <v>0</v>
      </c>
    </row>
    <row r="39" spans="1:6" s="58" customFormat="1" ht="17.25" customHeight="1">
      <c r="A39" s="84" t="s">
        <v>11</v>
      </c>
      <c r="B39" s="43" t="s">
        <v>217</v>
      </c>
      <c r="C39" s="300"/>
      <c r="D39" s="901"/>
      <c r="E39" s="901"/>
      <c r="F39" s="1226">
        <f t="shared" si="0"/>
        <v>0</v>
      </c>
    </row>
    <row r="40" spans="1:6" s="58" customFormat="1" ht="17.25" customHeight="1">
      <c r="A40" s="84" t="s">
        <v>12</v>
      </c>
      <c r="B40" s="47" t="s">
        <v>218</v>
      </c>
      <c r="C40" s="303"/>
      <c r="D40" s="297"/>
      <c r="E40" s="297"/>
      <c r="F40" s="1118">
        <f t="shared" si="0"/>
        <v>0</v>
      </c>
    </row>
    <row r="41" spans="1:6" s="58" customFormat="1" ht="17.25" customHeight="1" thickBot="1">
      <c r="A41" s="229" t="s">
        <v>13</v>
      </c>
      <c r="B41" s="54" t="s">
        <v>219</v>
      </c>
      <c r="C41" s="1298"/>
      <c r="D41" s="316"/>
      <c r="E41" s="316"/>
      <c r="F41" s="1123">
        <f t="shared" si="0"/>
        <v>0</v>
      </c>
    </row>
    <row r="42" spans="1:6" s="75" customFormat="1" ht="17.25" customHeight="1" thickBot="1">
      <c r="A42" s="41" t="s">
        <v>76</v>
      </c>
      <c r="B42" s="42" t="s">
        <v>220</v>
      </c>
      <c r="C42" s="299"/>
      <c r="D42" s="308"/>
      <c r="E42" s="308"/>
      <c r="F42" s="290">
        <f t="shared" si="0"/>
        <v>0</v>
      </c>
    </row>
    <row r="43" spans="1:6" s="75" customFormat="1" ht="17.25" customHeight="1" thickBot="1">
      <c r="A43" s="904" t="s">
        <v>77</v>
      </c>
      <c r="B43" s="905" t="s">
        <v>221</v>
      </c>
      <c r="C43" s="906"/>
      <c r="D43" s="907"/>
      <c r="E43" s="907"/>
      <c r="F43" s="1111">
        <f t="shared" si="0"/>
        <v>0</v>
      </c>
    </row>
    <row r="44" spans="1:6" s="75" customFormat="1" ht="17.25" customHeight="1" thickBot="1">
      <c r="A44" s="37" t="s">
        <v>78</v>
      </c>
      <c r="B44" s="42" t="s">
        <v>222</v>
      </c>
      <c r="C44" s="304">
        <f>+C8+C22+C30+C31+C38+C42+C43</f>
        <v>27503</v>
      </c>
      <c r="D44" s="288">
        <f>+D8+D22+D30+D31+D38+D42+D43</f>
        <v>29223</v>
      </c>
      <c r="E44" s="288">
        <f>+E8+E22+E30+E31+E38+E42+E43</f>
        <v>502</v>
      </c>
      <c r="F44" s="290">
        <f t="shared" si="0"/>
        <v>29725</v>
      </c>
    </row>
    <row r="45" spans="1:6" s="75" customFormat="1" ht="17.25" customHeight="1" thickBot="1">
      <c r="A45" s="45" t="s">
        <v>79</v>
      </c>
      <c r="B45" s="42" t="s">
        <v>223</v>
      </c>
      <c r="C45" s="289">
        <f>+C46+C47+C48</f>
        <v>101639</v>
      </c>
      <c r="D45" s="289">
        <f>+D46+D47+D48</f>
        <v>108401</v>
      </c>
      <c r="E45" s="289">
        <v>695</v>
      </c>
      <c r="F45" s="290">
        <f t="shared" si="0"/>
        <v>109096</v>
      </c>
    </row>
    <row r="46" spans="1:6" s="75" customFormat="1" ht="17.25" customHeight="1">
      <c r="A46" s="84" t="s">
        <v>224</v>
      </c>
      <c r="B46" s="43" t="s">
        <v>111</v>
      </c>
      <c r="C46" s="909"/>
      <c r="D46" s="910">
        <v>2907</v>
      </c>
      <c r="E46" s="910"/>
      <c r="F46" s="1269">
        <f t="shared" si="0"/>
        <v>2907</v>
      </c>
    </row>
    <row r="47" spans="1:6" s="75" customFormat="1" ht="17.25" customHeight="1">
      <c r="A47" s="84" t="s">
        <v>225</v>
      </c>
      <c r="B47" s="47" t="s">
        <v>226</v>
      </c>
      <c r="C47" s="501"/>
      <c r="D47" s="502"/>
      <c r="E47" s="502"/>
      <c r="F47" s="1176">
        <f t="shared" si="0"/>
        <v>0</v>
      </c>
    </row>
    <row r="48" spans="1:6" s="58" customFormat="1" ht="17.25" customHeight="1">
      <c r="A48" s="85" t="s">
        <v>227</v>
      </c>
      <c r="B48" s="320" t="s">
        <v>228</v>
      </c>
      <c r="C48" s="503">
        <f>SUM(C49:C50)</f>
        <v>101639</v>
      </c>
      <c r="D48" s="503">
        <f>SUM(D49:D50)</f>
        <v>105494</v>
      </c>
      <c r="E48" s="503">
        <v>695</v>
      </c>
      <c r="F48" s="1228">
        <f t="shared" si="0"/>
        <v>106189</v>
      </c>
    </row>
    <row r="49" spans="1:6" s="58" customFormat="1" ht="17.25" customHeight="1">
      <c r="A49" s="82" t="s">
        <v>241</v>
      </c>
      <c r="B49" s="47" t="s">
        <v>243</v>
      </c>
      <c r="C49" s="504">
        <v>24902</v>
      </c>
      <c r="D49" s="505">
        <v>28282</v>
      </c>
      <c r="E49" s="505">
        <v>195</v>
      </c>
      <c r="F49" s="1176">
        <f t="shared" si="0"/>
        <v>28477</v>
      </c>
    </row>
    <row r="50" spans="1:6" s="58" customFormat="1" ht="17.25" customHeight="1" thickBot="1">
      <c r="A50" s="318" t="s">
        <v>242</v>
      </c>
      <c r="B50" s="87" t="s">
        <v>244</v>
      </c>
      <c r="C50" s="1313">
        <v>76737</v>
      </c>
      <c r="D50" s="506">
        <v>77212</v>
      </c>
      <c r="E50" s="506">
        <v>500</v>
      </c>
      <c r="F50" s="1261">
        <f t="shared" si="0"/>
        <v>77712</v>
      </c>
    </row>
    <row r="51" spans="1:6" s="58" customFormat="1" ht="21.75" customHeight="1" thickBot="1">
      <c r="A51" s="45" t="s">
        <v>80</v>
      </c>
      <c r="B51" s="50" t="s">
        <v>229</v>
      </c>
      <c r="C51" s="507">
        <f>+C44+C45</f>
        <v>129142</v>
      </c>
      <c r="D51" s="508">
        <f>+D44+D45</f>
        <v>137624</v>
      </c>
      <c r="E51" s="911">
        <f>+E44+E45</f>
        <v>1197</v>
      </c>
      <c r="F51" s="290">
        <f t="shared" si="0"/>
        <v>138821</v>
      </c>
    </row>
    <row r="52" spans="1:6" ht="16.5" thickBot="1">
      <c r="A52" s="88"/>
      <c r="B52" s="89"/>
      <c r="C52" s="90"/>
    </row>
    <row r="53" spans="1:6" s="74" customFormat="1" ht="30.75" customHeight="1" thickBot="1">
      <c r="A53" s="916"/>
      <c r="B53" s="180" t="s">
        <v>2</v>
      </c>
      <c r="C53" s="917" t="s">
        <v>104</v>
      </c>
      <c r="D53" s="918" t="s">
        <v>471</v>
      </c>
      <c r="E53" s="915" t="s">
        <v>618</v>
      </c>
      <c r="F53" s="915" t="s">
        <v>471</v>
      </c>
    </row>
    <row r="54" spans="1:6" s="76" customFormat="1" ht="21.75" customHeight="1" thickBot="1">
      <c r="A54" s="37" t="s">
        <v>71</v>
      </c>
      <c r="B54" s="91" t="s">
        <v>230</v>
      </c>
      <c r="C54" s="508">
        <f>SUM(C55:C59)</f>
        <v>129142</v>
      </c>
      <c r="D54" s="508">
        <f>SUM(D55:D59)</f>
        <v>136045</v>
      </c>
      <c r="E54" s="508">
        <f>SUM(E55:E59)</f>
        <v>697</v>
      </c>
      <c r="F54" s="1172">
        <f>D54+E54</f>
        <v>136742</v>
      </c>
    </row>
    <row r="55" spans="1:6" ht="21.75" customHeight="1">
      <c r="A55" s="919" t="s">
        <v>18</v>
      </c>
      <c r="B55" s="39" t="s">
        <v>98</v>
      </c>
      <c r="C55" s="527">
        <v>60136</v>
      </c>
      <c r="D55" s="547">
        <v>61950</v>
      </c>
      <c r="E55" s="913">
        <v>795</v>
      </c>
      <c r="F55" s="1178">
        <f t="shared" ref="F55:F64" si="1">D55+E55</f>
        <v>62745</v>
      </c>
    </row>
    <row r="56" spans="1:6" ht="21.75" customHeight="1">
      <c r="A56" s="92" t="s">
        <v>19</v>
      </c>
      <c r="B56" s="40" t="s">
        <v>53</v>
      </c>
      <c r="C56" s="526">
        <v>16189</v>
      </c>
      <c r="D56" s="512">
        <v>16678</v>
      </c>
      <c r="E56" s="912">
        <v>42</v>
      </c>
      <c r="F56" s="1178">
        <f t="shared" si="1"/>
        <v>16720</v>
      </c>
    </row>
    <row r="57" spans="1:6" ht="21.75" customHeight="1">
      <c r="A57" s="92" t="s">
        <v>20</v>
      </c>
      <c r="B57" s="40" t="s">
        <v>35</v>
      </c>
      <c r="C57" s="526">
        <v>52817</v>
      </c>
      <c r="D57" s="512">
        <v>57417</v>
      </c>
      <c r="E57" s="913">
        <v>-140</v>
      </c>
      <c r="F57" s="1178">
        <f t="shared" si="1"/>
        <v>57277</v>
      </c>
    </row>
    <row r="58" spans="1:6" ht="21.75" customHeight="1">
      <c r="A58" s="92" t="s">
        <v>21</v>
      </c>
      <c r="B58" s="40" t="s">
        <v>54</v>
      </c>
      <c r="C58" s="526"/>
      <c r="D58" s="514"/>
      <c r="E58" s="513"/>
      <c r="F58" s="1178">
        <f t="shared" si="1"/>
        <v>0</v>
      </c>
    </row>
    <row r="59" spans="1:6" ht="21.75" customHeight="1" thickBot="1">
      <c r="A59" s="920" t="s">
        <v>36</v>
      </c>
      <c r="B59" s="236" t="s">
        <v>55</v>
      </c>
      <c r="C59" s="1272"/>
      <c r="D59" s="921"/>
      <c r="E59" s="922"/>
      <c r="F59" s="1178">
        <f t="shared" si="1"/>
        <v>0</v>
      </c>
    </row>
    <row r="60" spans="1:6" ht="21.75" customHeight="1" thickBot="1">
      <c r="A60" s="37" t="s">
        <v>72</v>
      </c>
      <c r="B60" s="91" t="s">
        <v>231</v>
      </c>
      <c r="C60" s="286">
        <f>SUM(C61:C63)</f>
        <v>0</v>
      </c>
      <c r="D60" s="286">
        <f>SUM(D61:D63)</f>
        <v>1579</v>
      </c>
      <c r="E60" s="286">
        <f>SUM(E61:E63)</f>
        <v>500</v>
      </c>
      <c r="F60" s="1237">
        <f t="shared" si="1"/>
        <v>2079</v>
      </c>
    </row>
    <row r="61" spans="1:6" s="76" customFormat="1" ht="21.75" customHeight="1">
      <c r="A61" s="919" t="s">
        <v>24</v>
      </c>
      <c r="B61" s="39" t="s">
        <v>108</v>
      </c>
      <c r="C61" s="287"/>
      <c r="D61" s="512">
        <v>1579</v>
      </c>
      <c r="E61" s="913">
        <v>500</v>
      </c>
      <c r="F61" s="1178">
        <f t="shared" si="1"/>
        <v>2079</v>
      </c>
    </row>
    <row r="62" spans="1:6" ht="21.75" customHeight="1">
      <c r="A62" s="92" t="s">
        <v>25</v>
      </c>
      <c r="B62" s="40" t="s">
        <v>56</v>
      </c>
      <c r="C62" s="1315"/>
      <c r="D62" s="1314"/>
      <c r="E62" s="1180"/>
      <c r="F62" s="1178">
        <f t="shared" si="1"/>
        <v>0</v>
      </c>
    </row>
    <row r="63" spans="1:6" ht="21.75" customHeight="1" thickBot="1">
      <c r="A63" s="920" t="s">
        <v>26</v>
      </c>
      <c r="B63" s="236" t="s">
        <v>3</v>
      </c>
      <c r="C63" s="924"/>
      <c r="D63" s="237"/>
      <c r="E63" s="925"/>
      <c r="F63" s="1175">
        <f t="shared" si="1"/>
        <v>0</v>
      </c>
    </row>
    <row r="64" spans="1:6" ht="22.5" customHeight="1" thickBot="1">
      <c r="A64" s="37" t="s">
        <v>73</v>
      </c>
      <c r="B64" s="46" t="s">
        <v>232</v>
      </c>
      <c r="C64" s="286">
        <f>+C54+C60</f>
        <v>129142</v>
      </c>
      <c r="D64" s="286">
        <f>+D54+D60</f>
        <v>137624</v>
      </c>
      <c r="E64" s="286">
        <f>+E54+E60</f>
        <v>1197</v>
      </c>
      <c r="F64" s="1237">
        <f t="shared" si="1"/>
        <v>138821</v>
      </c>
    </row>
    <row r="65" spans="1:6" ht="15.75" customHeight="1" thickBot="1">
      <c r="A65" s="88"/>
      <c r="B65" s="89"/>
      <c r="C65" s="90"/>
    </row>
    <row r="66" spans="1:6" ht="15.75" customHeight="1">
      <c r="A66" s="1307" t="s">
        <v>60</v>
      </c>
      <c r="B66" s="1309"/>
      <c r="C66" s="928">
        <v>25</v>
      </c>
      <c r="D66" s="927">
        <v>25</v>
      </c>
      <c r="E66" s="927"/>
      <c r="F66" s="1311">
        <f>D66+E66</f>
        <v>25</v>
      </c>
    </row>
    <row r="67" spans="1:6" ht="15.75" customHeight="1" thickBot="1">
      <c r="A67" s="1308" t="s">
        <v>61</v>
      </c>
      <c r="B67" s="1310"/>
      <c r="C67" s="931"/>
      <c r="D67" s="930"/>
      <c r="E67" s="930"/>
      <c r="F67" s="1312">
        <f>D67+E67</f>
        <v>0</v>
      </c>
    </row>
  </sheetData>
  <sheetProtection formatCells="0"/>
  <mergeCells count="4">
    <mergeCell ref="A2:A3"/>
    <mergeCell ref="B2:B3"/>
    <mergeCell ref="C2:F3"/>
    <mergeCell ref="A7:F7"/>
  </mergeCells>
  <printOptions horizontalCentered="1"/>
  <pageMargins left="0.31496062992125984" right="0.31496062992125984" top="0.78740157480314965" bottom="0.59055118110236227" header="0.59055118110236227" footer="0.78740157480314965"/>
  <pageSetup paperSize="9" scale="54" orientation="portrait" verticalDpi="300" r:id="rId1"/>
  <headerFooter alignWithMargins="0">
    <oddHeader>&amp;R&amp;"Times New Roman CE,Dőlt"&amp;14 13.3 melléklet a ..../2014. (...)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3" zoomScaleNormal="100" workbookViewId="0">
      <selection activeCell="N44" sqref="N44"/>
    </sheetView>
  </sheetViews>
  <sheetFormatPr defaultColWidth="10.6640625" defaultRowHeight="12.75"/>
  <cols>
    <col min="1" max="1" width="7.1640625" style="1565" customWidth="1"/>
    <col min="2" max="2" width="28" style="1565" customWidth="1"/>
    <col min="3" max="3" width="10.6640625" style="1565" hidden="1" customWidth="1"/>
    <col min="4" max="4" width="14.33203125" style="1565" customWidth="1"/>
    <col min="5" max="5" width="17.1640625" style="1565" customWidth="1"/>
    <col min="6" max="6" width="18.5" style="1565" customWidth="1"/>
    <col min="7" max="8" width="14.33203125" style="1565" customWidth="1"/>
    <col min="9" max="9" width="12.5" style="1565" customWidth="1"/>
    <col min="10" max="16384" width="10.6640625" style="1565"/>
  </cols>
  <sheetData>
    <row r="1" spans="1:9" ht="16.5" thickBot="1">
      <c r="A1" s="1687"/>
      <c r="B1" s="1688"/>
      <c r="C1" s="1688"/>
      <c r="D1" s="1688"/>
      <c r="E1" s="1688"/>
      <c r="F1" s="1688"/>
      <c r="G1" s="1688"/>
      <c r="H1" s="1688"/>
      <c r="I1" s="1688"/>
    </row>
    <row r="2" spans="1:9" ht="12.75" customHeight="1">
      <c r="A2" s="1689" t="s">
        <v>626</v>
      </c>
      <c r="B2" s="1690"/>
      <c r="C2" s="1690"/>
      <c r="D2" s="1690"/>
      <c r="E2" s="1690"/>
      <c r="F2" s="1690"/>
      <c r="G2" s="1690"/>
      <c r="H2" s="1690"/>
      <c r="I2" s="1691"/>
    </row>
    <row r="3" spans="1:9" ht="21" customHeight="1" thickBot="1">
      <c r="A3" s="1692"/>
      <c r="B3" s="1693"/>
      <c r="C3" s="1693"/>
      <c r="D3" s="1693"/>
      <c r="E3" s="1693"/>
      <c r="F3" s="1693"/>
      <c r="G3" s="1693"/>
      <c r="H3" s="1693"/>
      <c r="I3" s="1694"/>
    </row>
    <row r="4" spans="1:9" ht="15" hidden="1" customHeight="1">
      <c r="A4" s="1566"/>
      <c r="B4" s="1567"/>
      <c r="C4" s="1568"/>
      <c r="D4" s="1569"/>
    </row>
    <row r="5" spans="1:9" ht="46.5" customHeight="1">
      <c r="A5" s="1570" t="s">
        <v>627</v>
      </c>
      <c r="B5" s="1571" t="s">
        <v>628</v>
      </c>
      <c r="C5" s="1572"/>
      <c r="D5" s="1573" t="s">
        <v>629</v>
      </c>
      <c r="E5" s="1571" t="s">
        <v>630</v>
      </c>
      <c r="F5" s="1571" t="s">
        <v>631</v>
      </c>
      <c r="G5" s="1571" t="s">
        <v>632</v>
      </c>
      <c r="H5" s="1571" t="s">
        <v>633</v>
      </c>
      <c r="I5" s="1574" t="s">
        <v>148</v>
      </c>
    </row>
    <row r="6" spans="1:9" ht="30" hidden="1" customHeight="1">
      <c r="A6" s="1575"/>
      <c r="B6" s="1576"/>
      <c r="C6" s="1577"/>
      <c r="D6" s="1578"/>
      <c r="E6" s="1579"/>
      <c r="F6" s="1579"/>
      <c r="G6" s="1579"/>
      <c r="H6" s="1579"/>
      <c r="I6" s="1580"/>
    </row>
    <row r="7" spans="1:9" ht="21" customHeight="1">
      <c r="A7" s="1581" t="s">
        <v>71</v>
      </c>
      <c r="B7" s="1582" t="s">
        <v>634</v>
      </c>
      <c r="C7" s="1583"/>
      <c r="D7" s="1584">
        <v>3</v>
      </c>
      <c r="E7" s="1584">
        <v>11</v>
      </c>
      <c r="F7" s="1584">
        <v>39</v>
      </c>
      <c r="G7" s="1584"/>
      <c r="H7" s="1584"/>
      <c r="I7" s="1585">
        <f t="shared" ref="I7:I13" si="0">SUM(D7:H7)</f>
        <v>53</v>
      </c>
    </row>
    <row r="8" spans="1:9" ht="20.100000000000001" customHeight="1">
      <c r="A8" s="1581" t="s">
        <v>72</v>
      </c>
      <c r="B8" s="1582" t="s">
        <v>635</v>
      </c>
      <c r="C8" s="1586"/>
      <c r="D8" s="1584">
        <v>43</v>
      </c>
      <c r="E8" s="1582">
        <v>5</v>
      </c>
      <c r="F8" s="1582">
        <v>9</v>
      </c>
      <c r="G8" s="1582"/>
      <c r="H8" s="1582"/>
      <c r="I8" s="1585">
        <f t="shared" si="0"/>
        <v>57</v>
      </c>
    </row>
    <row r="9" spans="1:9" ht="20.100000000000001" customHeight="1">
      <c r="A9" s="1581" t="s">
        <v>73</v>
      </c>
      <c r="B9" s="1582" t="s">
        <v>636</v>
      </c>
      <c r="C9" s="1587"/>
      <c r="D9" s="1584"/>
      <c r="E9" s="1582"/>
      <c r="F9" s="1582"/>
      <c r="G9" s="1582"/>
      <c r="H9" s="1582">
        <v>63</v>
      </c>
      <c r="I9" s="1585">
        <f t="shared" si="0"/>
        <v>63</v>
      </c>
    </row>
    <row r="10" spans="1:9" ht="20.100000000000001" customHeight="1">
      <c r="A10" s="1581" t="s">
        <v>74</v>
      </c>
      <c r="B10" s="1582" t="s">
        <v>637</v>
      </c>
      <c r="C10" s="1587"/>
      <c r="D10" s="1584">
        <v>6</v>
      </c>
      <c r="E10" s="1582"/>
      <c r="F10" s="1582"/>
      <c r="G10" s="1582">
        <v>4</v>
      </c>
      <c r="H10" s="1582"/>
      <c r="I10" s="1585">
        <f t="shared" si="0"/>
        <v>10</v>
      </c>
    </row>
    <row r="11" spans="1:9" ht="20.100000000000001" customHeight="1">
      <c r="A11" s="1581" t="s">
        <v>75</v>
      </c>
      <c r="B11" s="1588" t="s">
        <v>62</v>
      </c>
      <c r="C11" s="1589"/>
      <c r="D11" s="1582">
        <v>87</v>
      </c>
      <c r="E11" s="1582">
        <v>2</v>
      </c>
      <c r="F11" s="1582">
        <v>3</v>
      </c>
      <c r="G11" s="1582"/>
      <c r="H11" s="1582"/>
      <c r="I11" s="1585">
        <f t="shared" si="0"/>
        <v>92</v>
      </c>
    </row>
    <row r="12" spans="1:9" ht="20.100000000000001" customHeight="1">
      <c r="A12" s="1581" t="s">
        <v>76</v>
      </c>
      <c r="B12" s="1588" t="s">
        <v>63</v>
      </c>
      <c r="C12" s="1589"/>
      <c r="D12" s="1582">
        <v>9</v>
      </c>
      <c r="E12" s="1582">
        <v>1</v>
      </c>
      <c r="F12" s="1582">
        <v>9</v>
      </c>
      <c r="G12" s="1582"/>
      <c r="H12" s="1582"/>
      <c r="I12" s="1585">
        <f t="shared" si="0"/>
        <v>19</v>
      </c>
    </row>
    <row r="13" spans="1:9" ht="20.100000000000001" customHeight="1">
      <c r="A13" s="1581" t="s">
        <v>77</v>
      </c>
      <c r="B13" s="1588" t="s">
        <v>638</v>
      </c>
      <c r="C13" s="1589"/>
      <c r="D13" s="1582">
        <v>16</v>
      </c>
      <c r="E13" s="1582">
        <v>2</v>
      </c>
      <c r="F13" s="1582">
        <v>7</v>
      </c>
      <c r="G13" s="1582"/>
      <c r="H13" s="1582"/>
      <c r="I13" s="1585">
        <f t="shared" si="0"/>
        <v>25</v>
      </c>
    </row>
    <row r="14" spans="1:9" ht="20.100000000000001" customHeight="1" thickBot="1">
      <c r="A14" s="1590"/>
      <c r="B14" s="1591" t="s">
        <v>639</v>
      </c>
      <c r="C14" s="1592"/>
      <c r="D14" s="1593">
        <f>SUM(D8:D13)</f>
        <v>161</v>
      </c>
      <c r="E14" s="1593">
        <f>SUM(E8:E13)</f>
        <v>10</v>
      </c>
      <c r="F14" s="1593">
        <f>SUM(F8:F13)</f>
        <v>28</v>
      </c>
      <c r="G14" s="1593">
        <f>SUM(G8:G13)</f>
        <v>4</v>
      </c>
      <c r="H14" s="1593">
        <f>SUM(H8:H13)</f>
        <v>63</v>
      </c>
      <c r="I14" s="1594">
        <f>SUM(I7:I13)</f>
        <v>319</v>
      </c>
    </row>
    <row r="15" spans="1:9" ht="16.5" thickBot="1">
      <c r="A15" s="1595"/>
      <c r="B15" s="1569"/>
      <c r="C15" s="1569"/>
      <c r="D15" s="1569"/>
    </row>
    <row r="16" spans="1:9" ht="25.5" customHeight="1" thickBot="1">
      <c r="A16" s="1689" t="s">
        <v>642</v>
      </c>
      <c r="B16" s="1690"/>
      <c r="C16" s="1690"/>
      <c r="D16" s="1690"/>
      <c r="E16" s="1690"/>
      <c r="F16" s="1690"/>
      <c r="G16" s="1690"/>
      <c r="H16" s="1690"/>
      <c r="I16" s="1691"/>
    </row>
    <row r="17" spans="1:9" ht="46.5" customHeight="1">
      <c r="A17" s="1570" t="s">
        <v>627</v>
      </c>
      <c r="B17" s="1571" t="s">
        <v>628</v>
      </c>
      <c r="C17" s="1572"/>
      <c r="D17" s="1573" t="s">
        <v>629</v>
      </c>
      <c r="E17" s="1571" t="s">
        <v>630</v>
      </c>
      <c r="F17" s="1571" t="s">
        <v>631</v>
      </c>
      <c r="G17" s="1571" t="s">
        <v>632</v>
      </c>
      <c r="H17" s="1571" t="s">
        <v>633</v>
      </c>
      <c r="I17" s="1574" t="s">
        <v>148</v>
      </c>
    </row>
    <row r="18" spans="1:9" ht="15.75">
      <c r="A18" s="1581" t="s">
        <v>71</v>
      </c>
      <c r="B18" s="1582" t="s">
        <v>634</v>
      </c>
      <c r="C18" s="1583"/>
      <c r="D18" s="1584">
        <v>3</v>
      </c>
      <c r="E18" s="1584">
        <v>11</v>
      </c>
      <c r="F18" s="1584">
        <f>39+1-1</f>
        <v>39</v>
      </c>
      <c r="G18" s="1584"/>
      <c r="H18" s="1584"/>
      <c r="I18" s="1585">
        <f t="shared" ref="I18:I24" si="1">SUM(D18:H18)</f>
        <v>53</v>
      </c>
    </row>
    <row r="19" spans="1:9" ht="15.75">
      <c r="A19" s="1581" t="s">
        <v>72</v>
      </c>
      <c r="B19" s="1582" t="s">
        <v>635</v>
      </c>
      <c r="C19" s="1586"/>
      <c r="D19" s="1584">
        <v>43</v>
      </c>
      <c r="E19" s="1582">
        <v>5</v>
      </c>
      <c r="F19" s="1582">
        <v>9</v>
      </c>
      <c r="G19" s="1582"/>
      <c r="H19" s="1582"/>
      <c r="I19" s="1585">
        <f t="shared" si="1"/>
        <v>57</v>
      </c>
    </row>
    <row r="20" spans="1:9" ht="15.75">
      <c r="A20" s="1581" t="s">
        <v>73</v>
      </c>
      <c r="B20" s="1582" t="s">
        <v>636</v>
      </c>
      <c r="C20" s="1587"/>
      <c r="D20" s="1584"/>
      <c r="E20" s="1582"/>
      <c r="F20" s="1582">
        <v>2</v>
      </c>
      <c r="G20" s="1582"/>
      <c r="H20" s="1582">
        <f>63+1</f>
        <v>64</v>
      </c>
      <c r="I20" s="1585">
        <f t="shared" si="1"/>
        <v>66</v>
      </c>
    </row>
    <row r="21" spans="1:9" ht="15.75">
      <c r="A21" s="1581" t="s">
        <v>74</v>
      </c>
      <c r="B21" s="1582" t="s">
        <v>637</v>
      </c>
      <c r="C21" s="1587"/>
      <c r="D21" s="1584">
        <v>6</v>
      </c>
      <c r="E21" s="1582"/>
      <c r="F21" s="1582"/>
      <c r="G21" s="1582">
        <v>4</v>
      </c>
      <c r="H21" s="1582"/>
      <c r="I21" s="1585">
        <f t="shared" si="1"/>
        <v>10</v>
      </c>
    </row>
    <row r="22" spans="1:9" ht="15.75">
      <c r="A22" s="1581" t="s">
        <v>75</v>
      </c>
      <c r="B22" s="1588" t="s">
        <v>62</v>
      </c>
      <c r="C22" s="1589"/>
      <c r="D22" s="1582">
        <v>87</v>
      </c>
      <c r="E22" s="1582">
        <v>2</v>
      </c>
      <c r="F22" s="1582">
        <v>3</v>
      </c>
      <c r="G22" s="1582"/>
      <c r="H22" s="1582"/>
      <c r="I22" s="1585">
        <f t="shared" si="1"/>
        <v>92</v>
      </c>
    </row>
    <row r="23" spans="1:9" ht="15.75">
      <c r="A23" s="1581" t="s">
        <v>76</v>
      </c>
      <c r="B23" s="1588" t="s">
        <v>63</v>
      </c>
      <c r="C23" s="1589"/>
      <c r="D23" s="1582">
        <v>9</v>
      </c>
      <c r="E23" s="1582">
        <v>1</v>
      </c>
      <c r="F23" s="1582">
        <v>9</v>
      </c>
      <c r="G23" s="1582"/>
      <c r="H23" s="1582"/>
      <c r="I23" s="1585">
        <f t="shared" si="1"/>
        <v>19</v>
      </c>
    </row>
    <row r="24" spans="1:9" ht="15.75">
      <c r="A24" s="1581" t="s">
        <v>77</v>
      </c>
      <c r="B24" s="1588" t="s">
        <v>638</v>
      </c>
      <c r="C24" s="1589"/>
      <c r="D24" s="1582">
        <v>16</v>
      </c>
      <c r="E24" s="1582">
        <v>2</v>
      </c>
      <c r="F24" s="1582">
        <v>7</v>
      </c>
      <c r="G24" s="1582"/>
      <c r="H24" s="1582"/>
      <c r="I24" s="1585">
        <f t="shared" si="1"/>
        <v>25</v>
      </c>
    </row>
    <row r="25" spans="1:9" ht="16.5" thickBot="1">
      <c r="A25" s="1590"/>
      <c r="B25" s="1591" t="s">
        <v>639</v>
      </c>
      <c r="C25" s="1592"/>
      <c r="D25" s="1593">
        <f>SUM(D19:D24)</f>
        <v>161</v>
      </c>
      <c r="E25" s="1593">
        <f>SUM(E19:E24)</f>
        <v>10</v>
      </c>
      <c r="F25" s="1593">
        <f>SUM(F19:F24)</f>
        <v>30</v>
      </c>
      <c r="G25" s="1593">
        <f>SUM(G19:G24)</f>
        <v>4</v>
      </c>
      <c r="H25" s="1593">
        <f>SUM(H19:H24)</f>
        <v>64</v>
      </c>
      <c r="I25" s="1594">
        <f>SUM(I18:I24)</f>
        <v>322</v>
      </c>
    </row>
    <row r="26" spans="1:9" ht="13.5" thickBot="1"/>
    <row r="27" spans="1:9" ht="31.5" customHeight="1" thickBot="1">
      <c r="A27" s="1689" t="s">
        <v>640</v>
      </c>
      <c r="B27" s="1690"/>
      <c r="C27" s="1690"/>
      <c r="D27" s="1690"/>
      <c r="E27" s="1690"/>
      <c r="F27" s="1690"/>
      <c r="G27" s="1690"/>
      <c r="H27" s="1690"/>
      <c r="I27" s="1691"/>
    </row>
    <row r="28" spans="1:9" ht="46.5" customHeight="1">
      <c r="A28" s="1570" t="s">
        <v>627</v>
      </c>
      <c r="B28" s="1571" t="s">
        <v>628</v>
      </c>
      <c r="C28" s="1572"/>
      <c r="D28" s="1573" t="s">
        <v>629</v>
      </c>
      <c r="E28" s="1571" t="s">
        <v>630</v>
      </c>
      <c r="F28" s="1571" t="s">
        <v>631</v>
      </c>
      <c r="G28" s="1571" t="s">
        <v>632</v>
      </c>
      <c r="H28" s="1571" t="s">
        <v>633</v>
      </c>
      <c r="I28" s="1574" t="s">
        <v>148</v>
      </c>
    </row>
    <row r="29" spans="1:9" ht="15.75">
      <c r="A29" s="1581" t="s">
        <v>71</v>
      </c>
      <c r="B29" s="1582" t="s">
        <v>634</v>
      </c>
      <c r="C29" s="1583"/>
      <c r="D29" s="1584">
        <v>3</v>
      </c>
      <c r="E29" s="1584">
        <v>11</v>
      </c>
      <c r="F29" s="1584">
        <f>39+1-1</f>
        <v>39</v>
      </c>
      <c r="G29" s="1584">
        <v>1</v>
      </c>
      <c r="H29" s="1584"/>
      <c r="I29" s="1585">
        <f t="shared" ref="I29:I35" si="2">SUM(D29:H29)</f>
        <v>54</v>
      </c>
    </row>
    <row r="30" spans="1:9" ht="15.75">
      <c r="A30" s="1581" t="s">
        <v>72</v>
      </c>
      <c r="B30" s="1582" t="s">
        <v>635</v>
      </c>
      <c r="C30" s="1586"/>
      <c r="D30" s="1584">
        <v>43</v>
      </c>
      <c r="E30" s="1582">
        <v>5</v>
      </c>
      <c r="F30" s="1582">
        <v>9</v>
      </c>
      <c r="G30" s="1582"/>
      <c r="H30" s="1582"/>
      <c r="I30" s="1585">
        <f t="shared" si="2"/>
        <v>57</v>
      </c>
    </row>
    <row r="31" spans="1:9" ht="15.75">
      <c r="A31" s="1581" t="s">
        <v>73</v>
      </c>
      <c r="B31" s="1582" t="s">
        <v>636</v>
      </c>
      <c r="C31" s="1587"/>
      <c r="D31" s="1584"/>
      <c r="E31" s="1582"/>
      <c r="F31" s="1582">
        <v>2</v>
      </c>
      <c r="G31" s="1582"/>
      <c r="H31" s="1582">
        <f>63+1</f>
        <v>64</v>
      </c>
      <c r="I31" s="1585">
        <f t="shared" si="2"/>
        <v>66</v>
      </c>
    </row>
    <row r="32" spans="1:9" ht="15.75">
      <c r="A32" s="1581" t="s">
        <v>74</v>
      </c>
      <c r="B32" s="1582" t="s">
        <v>637</v>
      </c>
      <c r="C32" s="1587"/>
      <c r="D32" s="1584">
        <v>6</v>
      </c>
      <c r="E32" s="1582"/>
      <c r="F32" s="1582"/>
      <c r="G32" s="1582">
        <v>4</v>
      </c>
      <c r="H32" s="1582"/>
      <c r="I32" s="1585">
        <f t="shared" si="2"/>
        <v>10</v>
      </c>
    </row>
    <row r="33" spans="1:9" ht="15.75">
      <c r="A33" s="1581" t="s">
        <v>75</v>
      </c>
      <c r="B33" s="1588" t="s">
        <v>62</v>
      </c>
      <c r="C33" s="1589"/>
      <c r="D33" s="1582">
        <v>87</v>
      </c>
      <c r="E33" s="1582">
        <f>2+1</f>
        <v>3</v>
      </c>
      <c r="F33" s="1582">
        <v>3</v>
      </c>
      <c r="G33" s="1582"/>
      <c r="H33" s="1582"/>
      <c r="I33" s="1585">
        <f t="shared" si="2"/>
        <v>93</v>
      </c>
    </row>
    <row r="34" spans="1:9" ht="15.75">
      <c r="A34" s="1581" t="s">
        <v>76</v>
      </c>
      <c r="B34" s="1588" t="s">
        <v>63</v>
      </c>
      <c r="C34" s="1589"/>
      <c r="D34" s="1582">
        <v>9</v>
      </c>
      <c r="E34" s="1582">
        <v>1</v>
      </c>
      <c r="F34" s="1582">
        <v>9</v>
      </c>
      <c r="G34" s="1582"/>
      <c r="H34" s="1582"/>
      <c r="I34" s="1585">
        <f t="shared" si="2"/>
        <v>19</v>
      </c>
    </row>
    <row r="35" spans="1:9" ht="15.75">
      <c r="A35" s="1581" t="s">
        <v>77</v>
      </c>
      <c r="B35" s="1588" t="s">
        <v>638</v>
      </c>
      <c r="C35" s="1589"/>
      <c r="D35" s="1582">
        <v>16</v>
      </c>
      <c r="E35" s="1582">
        <v>2</v>
      </c>
      <c r="F35" s="1582">
        <v>7</v>
      </c>
      <c r="G35" s="1582"/>
      <c r="H35" s="1582"/>
      <c r="I35" s="1585">
        <f t="shared" si="2"/>
        <v>25</v>
      </c>
    </row>
    <row r="36" spans="1:9" ht="16.5" thickBot="1">
      <c r="A36" s="1590"/>
      <c r="B36" s="1591" t="s">
        <v>639</v>
      </c>
      <c r="C36" s="1592"/>
      <c r="D36" s="1593">
        <f>SUM(D30:D35)</f>
        <v>161</v>
      </c>
      <c r="E36" s="1593">
        <f>SUM(E30:E35)</f>
        <v>11</v>
      </c>
      <c r="F36" s="1593">
        <f>SUM(F30:F35)</f>
        <v>30</v>
      </c>
      <c r="G36" s="1593">
        <f>SUM(G30:G35)</f>
        <v>4</v>
      </c>
      <c r="H36" s="1593">
        <f>SUM(H30:H35)</f>
        <v>64</v>
      </c>
      <c r="I36" s="1594">
        <f>SUM(I29:I35)</f>
        <v>324</v>
      </c>
    </row>
    <row r="37" spans="1:9" ht="13.5" thickBot="1"/>
    <row r="38" spans="1:9" ht="30.75" customHeight="1" thickBot="1">
      <c r="A38" s="1689" t="s">
        <v>641</v>
      </c>
      <c r="B38" s="1690"/>
      <c r="C38" s="1690"/>
      <c r="D38" s="1690"/>
      <c r="E38" s="1690"/>
      <c r="F38" s="1690"/>
      <c r="G38" s="1690"/>
      <c r="H38" s="1690"/>
      <c r="I38" s="1691"/>
    </row>
    <row r="39" spans="1:9" ht="44.25" customHeight="1">
      <c r="A39" s="1570" t="s">
        <v>627</v>
      </c>
      <c r="B39" s="1571" t="s">
        <v>628</v>
      </c>
      <c r="C39" s="1572"/>
      <c r="D39" s="1573" t="s">
        <v>629</v>
      </c>
      <c r="E39" s="1571" t="s">
        <v>630</v>
      </c>
      <c r="F39" s="1571" t="s">
        <v>631</v>
      </c>
      <c r="G39" s="1571" t="s">
        <v>632</v>
      </c>
      <c r="H39" s="1571" t="s">
        <v>633</v>
      </c>
      <c r="I39" s="1574" t="s">
        <v>148</v>
      </c>
    </row>
    <row r="40" spans="1:9" ht="15.75">
      <c r="A40" s="1581" t="s">
        <v>71</v>
      </c>
      <c r="B40" s="1582" t="s">
        <v>634</v>
      </c>
      <c r="C40" s="1583"/>
      <c r="D40" s="1584">
        <v>3</v>
      </c>
      <c r="E40" s="1584">
        <v>11</v>
      </c>
      <c r="F40" s="1584">
        <f>39+1-1</f>
        <v>39</v>
      </c>
      <c r="G40" s="1584">
        <v>1</v>
      </c>
      <c r="H40" s="1584"/>
      <c r="I40" s="1585">
        <f t="shared" ref="I40:I46" si="3">SUM(D40:H40)</f>
        <v>54</v>
      </c>
    </row>
    <row r="41" spans="1:9" ht="15.75">
      <c r="A41" s="1581" t="s">
        <v>72</v>
      </c>
      <c r="B41" s="1582" t="s">
        <v>635</v>
      </c>
      <c r="C41" s="1586"/>
      <c r="D41" s="1584">
        <v>43</v>
      </c>
      <c r="E41" s="1582">
        <v>5</v>
      </c>
      <c r="F41" s="1582">
        <v>9</v>
      </c>
      <c r="G41" s="1582"/>
      <c r="H41" s="1582"/>
      <c r="I41" s="1585">
        <f t="shared" si="3"/>
        <v>57</v>
      </c>
    </row>
    <row r="42" spans="1:9" ht="15.75">
      <c r="A42" s="1581" t="s">
        <v>73</v>
      </c>
      <c r="B42" s="1582" t="s">
        <v>636</v>
      </c>
      <c r="C42" s="1587"/>
      <c r="D42" s="1584"/>
      <c r="E42" s="1582"/>
      <c r="F42" s="1582">
        <v>2</v>
      </c>
      <c r="G42" s="1582"/>
      <c r="H42" s="1582">
        <f>63+1+2</f>
        <v>66</v>
      </c>
      <c r="I42" s="1585">
        <f t="shared" si="3"/>
        <v>68</v>
      </c>
    </row>
    <row r="43" spans="1:9" ht="15.75">
      <c r="A43" s="1581" t="s">
        <v>74</v>
      </c>
      <c r="B43" s="1582" t="s">
        <v>637</v>
      </c>
      <c r="C43" s="1587"/>
      <c r="D43" s="1584">
        <v>6</v>
      </c>
      <c r="E43" s="1582"/>
      <c r="F43" s="1582"/>
      <c r="G43" s="1582">
        <v>4</v>
      </c>
      <c r="H43" s="1582"/>
      <c r="I43" s="1585">
        <f t="shared" si="3"/>
        <v>10</v>
      </c>
    </row>
    <row r="44" spans="1:9" ht="15.75">
      <c r="A44" s="1581" t="s">
        <v>75</v>
      </c>
      <c r="B44" s="1588" t="s">
        <v>62</v>
      </c>
      <c r="C44" s="1589"/>
      <c r="D44" s="1582">
        <v>87</v>
      </c>
      <c r="E44" s="1582">
        <f>2+1</f>
        <v>3</v>
      </c>
      <c r="F44" s="1582">
        <v>3</v>
      </c>
      <c r="G44" s="1582"/>
      <c r="H44" s="1582"/>
      <c r="I44" s="1585">
        <f t="shared" si="3"/>
        <v>93</v>
      </c>
    </row>
    <row r="45" spans="1:9" ht="15.75">
      <c r="A45" s="1581" t="s">
        <v>76</v>
      </c>
      <c r="B45" s="1588" t="s">
        <v>63</v>
      </c>
      <c r="C45" s="1589"/>
      <c r="D45" s="1582">
        <v>9</v>
      </c>
      <c r="E45" s="1582">
        <v>1</v>
      </c>
      <c r="F45" s="1582">
        <v>9</v>
      </c>
      <c r="G45" s="1582"/>
      <c r="H45" s="1582"/>
      <c r="I45" s="1585">
        <f t="shared" si="3"/>
        <v>19</v>
      </c>
    </row>
    <row r="46" spans="1:9" ht="15.75">
      <c r="A46" s="1581" t="s">
        <v>77</v>
      </c>
      <c r="B46" s="1588" t="s">
        <v>638</v>
      </c>
      <c r="C46" s="1589"/>
      <c r="D46" s="1582">
        <v>16</v>
      </c>
      <c r="E46" s="1582">
        <v>2</v>
      </c>
      <c r="F46" s="1582">
        <v>7</v>
      </c>
      <c r="G46" s="1582"/>
      <c r="H46" s="1582"/>
      <c r="I46" s="1585">
        <f t="shared" si="3"/>
        <v>25</v>
      </c>
    </row>
    <row r="47" spans="1:9" ht="16.5" thickBot="1">
      <c r="A47" s="1590"/>
      <c r="B47" s="1591" t="s">
        <v>639</v>
      </c>
      <c r="C47" s="1592"/>
      <c r="D47" s="1593">
        <f>SUM(D41:D46)</f>
        <v>161</v>
      </c>
      <c r="E47" s="1593">
        <f>SUM(E41:E46)</f>
        <v>11</v>
      </c>
      <c r="F47" s="1593">
        <f>SUM(F41:F46)</f>
        <v>30</v>
      </c>
      <c r="G47" s="1593">
        <f>SUM(G41:G46)</f>
        <v>4</v>
      </c>
      <c r="H47" s="1593">
        <f>SUM(H41:H46)</f>
        <v>66</v>
      </c>
      <c r="I47" s="1594">
        <f>SUM(I40:I46)</f>
        <v>326</v>
      </c>
    </row>
  </sheetData>
  <mergeCells count="5">
    <mergeCell ref="A1:I1"/>
    <mergeCell ref="A2:I3"/>
    <mergeCell ref="A16:I16"/>
    <mergeCell ref="A27:I27"/>
    <mergeCell ref="A38:I38"/>
  </mergeCells>
  <printOptions horizontalCentered="1"/>
  <pageMargins left="0.39370078740157483" right="0.39370078740157483" top="0.59055118110236227" bottom="0.39370078740157483" header="0.31496062992125984" footer="0.51181102362204722"/>
  <pageSetup paperSize="9" scale="80" orientation="portrait" r:id="rId1"/>
  <headerFooter alignWithMargins="0">
    <oddHeader>&amp;R&amp;"Times New Roman CE,Dőlt"&amp;12 14. melléklet a ..../2014.(....)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29"/>
  <sheetViews>
    <sheetView topLeftCell="A13" zoomScaleNormal="100" workbookViewId="0">
      <selection activeCell="J12" sqref="J12"/>
    </sheetView>
  </sheetViews>
  <sheetFormatPr defaultRowHeight="15"/>
  <cols>
    <col min="1" max="1" width="9.33203125" style="124"/>
    <col min="2" max="2" width="62" style="124" customWidth="1"/>
    <col min="3" max="3" width="17.83203125" style="124" customWidth="1"/>
    <col min="4" max="4" width="16.5" style="119" customWidth="1"/>
    <col min="5" max="5" width="18.83203125" style="119" customWidth="1"/>
    <col min="6" max="6" width="16.5" style="119" customWidth="1"/>
    <col min="7" max="16384" width="9.33203125" style="119"/>
  </cols>
  <sheetData>
    <row r="1" spans="1:6" ht="12.75" customHeight="1">
      <c r="A1" s="1702" t="s">
        <v>438</v>
      </c>
      <c r="B1" s="1702"/>
      <c r="C1" s="1702"/>
      <c r="D1" s="1702"/>
      <c r="E1" s="1702"/>
      <c r="F1" s="1702"/>
    </row>
    <row r="2" spans="1:6" ht="36.75" customHeight="1">
      <c r="A2" s="1702"/>
      <c r="B2" s="1702"/>
      <c r="C2" s="1702"/>
      <c r="D2" s="1702"/>
      <c r="E2" s="1702"/>
      <c r="F2" s="1702"/>
    </row>
    <row r="3" spans="1:6" ht="16.5" thickBot="1">
      <c r="A3" s="398"/>
      <c r="B3" s="398"/>
      <c r="C3" s="398"/>
    </row>
    <row r="4" spans="1:6" ht="20.25" customHeight="1" thickBot="1">
      <c r="A4" s="1695" t="s">
        <v>70</v>
      </c>
      <c r="B4" s="1640" t="s">
        <v>4</v>
      </c>
      <c r="C4" s="1698" t="s">
        <v>473</v>
      </c>
      <c r="D4" s="1698"/>
      <c r="E4" s="1698"/>
      <c r="F4" s="1699"/>
    </row>
    <row r="5" spans="1:6" ht="35.25" customHeight="1" thickBot="1">
      <c r="A5" s="1696"/>
      <c r="B5" s="1697"/>
      <c r="C5" s="206" t="s">
        <v>104</v>
      </c>
      <c r="D5" s="205" t="s">
        <v>558</v>
      </c>
      <c r="E5" s="205" t="s">
        <v>618</v>
      </c>
      <c r="F5" s="205" t="s">
        <v>471</v>
      </c>
    </row>
    <row r="6" spans="1:6" ht="21.75" customHeight="1" thickBot="1">
      <c r="A6" s="407" t="s">
        <v>66</v>
      </c>
      <c r="B6" s="408" t="s">
        <v>421</v>
      </c>
      <c r="C6" s="120">
        <f>SUM(C7:C12)</f>
        <v>166825</v>
      </c>
      <c r="D6" s="120">
        <f>SUM(D7:D16)</f>
        <v>248117</v>
      </c>
      <c r="E6" s="120">
        <f>SUM(E7:E16)</f>
        <v>-98075</v>
      </c>
      <c r="F6" s="120">
        <f>SUM(F7:F16)</f>
        <v>150042</v>
      </c>
    </row>
    <row r="7" spans="1:6" ht="21.75" customHeight="1">
      <c r="A7" s="404" t="s">
        <v>71</v>
      </c>
      <c r="B7" s="405" t="s">
        <v>433</v>
      </c>
      <c r="C7" s="406">
        <v>100000</v>
      </c>
      <c r="D7" s="406">
        <v>174078</v>
      </c>
      <c r="E7" s="406">
        <f>-98997+794</f>
        <v>-98203</v>
      </c>
      <c r="F7" s="406">
        <f>SUM(D7:E7)</f>
        <v>75875</v>
      </c>
    </row>
    <row r="8" spans="1:6" ht="21" customHeight="1">
      <c r="A8" s="400" t="s">
        <v>72</v>
      </c>
      <c r="B8" s="401" t="s">
        <v>434</v>
      </c>
      <c r="C8" s="123">
        <v>5000</v>
      </c>
      <c r="D8" s="123">
        <v>2334</v>
      </c>
      <c r="E8" s="123">
        <f>-208+1349</f>
        <v>1141</v>
      </c>
      <c r="F8" s="123">
        <f>SUM(D8:E8)</f>
        <v>3475</v>
      </c>
    </row>
    <row r="9" spans="1:6" ht="21" customHeight="1">
      <c r="A9" s="399" t="s">
        <v>73</v>
      </c>
      <c r="B9" s="401" t="s">
        <v>123</v>
      </c>
      <c r="C9" s="123">
        <v>21454</v>
      </c>
      <c r="D9" s="123">
        <v>5680</v>
      </c>
      <c r="E9" s="123"/>
      <c r="F9" s="123">
        <f t="shared" ref="F9:F16" si="0">SUM(D9:E9)</f>
        <v>5680</v>
      </c>
    </row>
    <row r="10" spans="1:6" ht="21" customHeight="1">
      <c r="A10" s="400" t="s">
        <v>74</v>
      </c>
      <c r="B10" s="166" t="s">
        <v>191</v>
      </c>
      <c r="C10" s="123">
        <v>5371</v>
      </c>
      <c r="D10" s="123">
        <v>5371</v>
      </c>
      <c r="E10" s="123"/>
      <c r="F10" s="123">
        <f t="shared" si="0"/>
        <v>5371</v>
      </c>
    </row>
    <row r="11" spans="1:6" ht="21" customHeight="1">
      <c r="A11" s="399" t="s">
        <v>75</v>
      </c>
      <c r="B11" s="401" t="s">
        <v>455</v>
      </c>
      <c r="C11" s="123">
        <v>25000</v>
      </c>
      <c r="D11" s="123">
        <v>25000</v>
      </c>
      <c r="E11" s="123"/>
      <c r="F11" s="123">
        <f t="shared" si="0"/>
        <v>25000</v>
      </c>
    </row>
    <row r="12" spans="1:6" ht="21" customHeight="1">
      <c r="A12" s="400" t="s">
        <v>76</v>
      </c>
      <c r="B12" s="401" t="s">
        <v>456</v>
      </c>
      <c r="C12" s="123">
        <v>10000</v>
      </c>
      <c r="D12" s="123">
        <v>5000</v>
      </c>
      <c r="E12" s="123"/>
      <c r="F12" s="123">
        <f t="shared" si="0"/>
        <v>5000</v>
      </c>
    </row>
    <row r="13" spans="1:6" ht="21" customHeight="1">
      <c r="A13" s="400" t="s">
        <v>77</v>
      </c>
      <c r="B13" s="401" t="s">
        <v>483</v>
      </c>
      <c r="C13" s="123"/>
      <c r="D13" s="123">
        <v>4333</v>
      </c>
      <c r="E13" s="123">
        <v>-4333</v>
      </c>
      <c r="F13" s="123">
        <f t="shared" si="0"/>
        <v>0</v>
      </c>
    </row>
    <row r="14" spans="1:6" ht="21" customHeight="1">
      <c r="A14" s="400" t="s">
        <v>78</v>
      </c>
      <c r="B14" s="401" t="s">
        <v>484</v>
      </c>
      <c r="C14" s="123"/>
      <c r="D14" s="123">
        <v>764</v>
      </c>
      <c r="E14" s="123"/>
      <c r="F14" s="123">
        <f t="shared" si="0"/>
        <v>764</v>
      </c>
    </row>
    <row r="15" spans="1:6" ht="21" customHeight="1">
      <c r="A15" s="400" t="s">
        <v>79</v>
      </c>
      <c r="B15" s="401" t="s">
        <v>485</v>
      </c>
      <c r="C15" s="123"/>
      <c r="D15" s="123">
        <v>0</v>
      </c>
      <c r="E15" s="123"/>
      <c r="F15" s="123">
        <f t="shared" si="0"/>
        <v>0</v>
      </c>
    </row>
    <row r="16" spans="1:6" ht="21" customHeight="1" thickBot="1">
      <c r="A16" s="409" t="s">
        <v>80</v>
      </c>
      <c r="B16" s="410" t="s">
        <v>486</v>
      </c>
      <c r="C16" s="411"/>
      <c r="D16" s="411">
        <v>25557</v>
      </c>
      <c r="E16" s="411">
        <v>3320</v>
      </c>
      <c r="F16" s="123">
        <f t="shared" si="0"/>
        <v>28877</v>
      </c>
    </row>
    <row r="17" spans="1:7" ht="26.25" customHeight="1" thickBot="1">
      <c r="A17" s="403" t="s">
        <v>68</v>
      </c>
      <c r="B17" s="408" t="s">
        <v>426</v>
      </c>
      <c r="C17" s="120">
        <f>SUM(C18:C28)</f>
        <v>154000</v>
      </c>
      <c r="D17" s="120">
        <f>SUM(D18:D28)</f>
        <v>176456</v>
      </c>
      <c r="E17" s="120">
        <f>SUM(E18:E28)</f>
        <v>-22175</v>
      </c>
      <c r="F17" s="120">
        <f>SUM(F18:F28)</f>
        <v>154281</v>
      </c>
    </row>
    <row r="18" spans="1:7" ht="26.25" customHeight="1">
      <c r="A18" s="412" t="s">
        <v>71</v>
      </c>
      <c r="B18" s="413" t="s">
        <v>435</v>
      </c>
      <c r="C18" s="406">
        <v>2000</v>
      </c>
      <c r="D18" s="406">
        <v>127</v>
      </c>
      <c r="E18" s="406">
        <v>-94</v>
      </c>
      <c r="F18" s="406">
        <f>SUM(D18:E18)</f>
        <v>33</v>
      </c>
      <c r="G18" s="121"/>
    </row>
    <row r="19" spans="1:7" ht="21" customHeight="1">
      <c r="A19" s="400" t="s">
        <v>72</v>
      </c>
      <c r="B19" s="402" t="s">
        <v>436</v>
      </c>
      <c r="C19" s="123">
        <v>50000</v>
      </c>
      <c r="D19" s="123">
        <v>42940</v>
      </c>
      <c r="E19" s="123">
        <f>-1500+22697-34000-4452-6877</f>
        <v>-24132</v>
      </c>
      <c r="F19" s="123">
        <f>SUM(D19:E19)</f>
        <v>18808</v>
      </c>
      <c r="G19" s="122"/>
    </row>
    <row r="20" spans="1:7" ht="21" customHeight="1">
      <c r="A20" s="412" t="s">
        <v>73</v>
      </c>
      <c r="B20" s="402" t="s">
        <v>496</v>
      </c>
      <c r="C20" s="123"/>
      <c r="D20" s="123">
        <v>33</v>
      </c>
      <c r="E20" s="123"/>
      <c r="F20" s="123">
        <f t="shared" ref="F20:F28" si="1">SUM(D20:E20)</f>
        <v>33</v>
      </c>
      <c r="G20" s="122"/>
    </row>
    <row r="21" spans="1:7" ht="21" customHeight="1">
      <c r="A21" s="400" t="s">
        <v>74</v>
      </c>
      <c r="B21" s="401" t="s">
        <v>454</v>
      </c>
      <c r="C21" s="123">
        <v>102000</v>
      </c>
      <c r="D21" s="123">
        <v>0</v>
      </c>
      <c r="E21" s="123"/>
      <c r="F21" s="123">
        <f t="shared" si="1"/>
        <v>0</v>
      </c>
      <c r="G21" s="122"/>
    </row>
    <row r="22" spans="1:7" ht="21" customHeight="1">
      <c r="A22" s="412" t="s">
        <v>75</v>
      </c>
      <c r="B22" s="402" t="s">
        <v>497</v>
      </c>
      <c r="C22" s="123"/>
      <c r="D22" s="123">
        <v>8156</v>
      </c>
      <c r="E22" s="123"/>
      <c r="F22" s="123">
        <f t="shared" si="1"/>
        <v>8156</v>
      </c>
      <c r="G22" s="122"/>
    </row>
    <row r="23" spans="1:7" ht="21" customHeight="1">
      <c r="A23" s="400" t="s">
        <v>76</v>
      </c>
      <c r="B23" s="402" t="s">
        <v>487</v>
      </c>
      <c r="C23" s="123"/>
      <c r="D23" s="123">
        <v>6814</v>
      </c>
      <c r="E23" s="123">
        <v>404</v>
      </c>
      <c r="F23" s="123">
        <f t="shared" si="1"/>
        <v>7218</v>
      </c>
      <c r="G23" s="122"/>
    </row>
    <row r="24" spans="1:7" ht="21" customHeight="1">
      <c r="A24" s="412" t="s">
        <v>77</v>
      </c>
      <c r="B24" s="402" t="s">
        <v>488</v>
      </c>
      <c r="C24" s="123"/>
      <c r="D24" s="123">
        <v>10503</v>
      </c>
      <c r="E24" s="123">
        <v>1647</v>
      </c>
      <c r="F24" s="123">
        <f t="shared" si="1"/>
        <v>12150</v>
      </c>
      <c r="G24" s="122"/>
    </row>
    <row r="25" spans="1:7" ht="21" customHeight="1">
      <c r="A25" s="400" t="s">
        <v>78</v>
      </c>
      <c r="B25" s="402" t="s">
        <v>498</v>
      </c>
      <c r="C25" s="123"/>
      <c r="D25" s="123">
        <v>44224</v>
      </c>
      <c r="E25" s="123"/>
      <c r="F25" s="123">
        <f t="shared" si="1"/>
        <v>44224</v>
      </c>
      <c r="G25" s="122"/>
    </row>
    <row r="26" spans="1:7" ht="21" customHeight="1">
      <c r="A26" s="412" t="s">
        <v>79</v>
      </c>
      <c r="B26" s="402" t="s">
        <v>489</v>
      </c>
      <c r="C26" s="123"/>
      <c r="D26" s="123">
        <v>514</v>
      </c>
      <c r="E26" s="123"/>
      <c r="F26" s="123">
        <f t="shared" si="1"/>
        <v>514</v>
      </c>
      <c r="G26" s="122"/>
    </row>
    <row r="27" spans="1:7" ht="21" customHeight="1">
      <c r="A27" s="412" t="s">
        <v>80</v>
      </c>
      <c r="B27" s="402" t="s">
        <v>490</v>
      </c>
      <c r="C27" s="123"/>
      <c r="D27" s="123">
        <v>62330</v>
      </c>
      <c r="E27" s="123"/>
      <c r="F27" s="123">
        <f t="shared" si="1"/>
        <v>62330</v>
      </c>
      <c r="G27" s="122"/>
    </row>
    <row r="28" spans="1:7" ht="21" customHeight="1" thickBot="1">
      <c r="A28" s="400" t="s">
        <v>81</v>
      </c>
      <c r="B28" s="402" t="s">
        <v>574</v>
      </c>
      <c r="C28" s="123"/>
      <c r="D28" s="123">
        <v>815</v>
      </c>
      <c r="E28" s="123"/>
      <c r="F28" s="123">
        <f t="shared" si="1"/>
        <v>815</v>
      </c>
      <c r="G28" s="122"/>
    </row>
    <row r="29" spans="1:7" ht="21" customHeight="1" thickBot="1">
      <c r="A29" s="1700" t="s">
        <v>437</v>
      </c>
      <c r="B29" s="1701"/>
      <c r="C29" s="120">
        <f>SUM(C6+C17)</f>
        <v>320825</v>
      </c>
      <c r="D29" s="120">
        <f>SUM(D6+D17)</f>
        <v>424573</v>
      </c>
      <c r="E29" s="120">
        <f>SUM(E6+E17)</f>
        <v>-120250</v>
      </c>
      <c r="F29" s="120">
        <f>SUM(F6+F17)</f>
        <v>304323</v>
      </c>
    </row>
  </sheetData>
  <mergeCells count="5">
    <mergeCell ref="A4:A5"/>
    <mergeCell ref="B4:B5"/>
    <mergeCell ref="C4:F4"/>
    <mergeCell ref="A29:B29"/>
    <mergeCell ref="A1:F2"/>
  </mergeCells>
  <printOptions horizontalCentered="1"/>
  <pageMargins left="0.35433070866141736" right="0.35433070866141736" top="1.1811023622047245" bottom="0.98425196850393704" header="0.9055118110236221" footer="0.51181102362204722"/>
  <pageSetup paperSize="9" scale="69" orientation="landscape" r:id="rId1"/>
  <headerFooter alignWithMargins="0">
    <oddHeader>&amp;R&amp;"Times New Roman CE,Dőlt"&amp;12 15. melléklet a ..../2014.(....)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74"/>
  <sheetViews>
    <sheetView topLeftCell="A154" zoomScaleNormal="100" workbookViewId="0">
      <selection activeCell="F37" sqref="F37"/>
    </sheetView>
  </sheetViews>
  <sheetFormatPr defaultRowHeight="12.75"/>
  <cols>
    <col min="1" max="1" width="11" style="98" customWidth="1"/>
    <col min="2" max="2" width="74.33203125" style="99" customWidth="1"/>
    <col min="3" max="3" width="13.83203125" style="100" customWidth="1"/>
    <col min="4" max="4" width="14" style="2" customWidth="1"/>
    <col min="5" max="5" width="14.6640625" style="2" customWidth="1"/>
    <col min="6" max="6" width="13.83203125" style="2" customWidth="1"/>
    <col min="7" max="16384" width="9.33203125" style="2"/>
  </cols>
  <sheetData>
    <row r="1" spans="1:6" s="1" customFormat="1" ht="42.75" customHeight="1">
      <c r="A1" s="1596" t="s">
        <v>474</v>
      </c>
      <c r="B1" s="1596"/>
      <c r="C1" s="1596"/>
      <c r="D1" s="1596"/>
      <c r="E1" s="1596"/>
    </row>
    <row r="2" spans="1:6" s="5" customFormat="1" ht="21.75" customHeight="1" thickBot="1">
      <c r="A2" s="1614" t="s">
        <v>439</v>
      </c>
      <c r="B2" s="1614"/>
      <c r="C2" s="1615"/>
      <c r="D2" s="1615"/>
      <c r="F2" s="116" t="s">
        <v>106</v>
      </c>
    </row>
    <row r="3" spans="1:6" s="5" customFormat="1" ht="21" customHeight="1" thickBot="1">
      <c r="A3" s="1616" t="s">
        <v>59</v>
      </c>
      <c r="B3" s="1618" t="s">
        <v>0</v>
      </c>
      <c r="C3" s="1609" t="s">
        <v>245</v>
      </c>
      <c r="D3" s="1610"/>
      <c r="E3" s="1610"/>
      <c r="F3" s="1611"/>
    </row>
    <row r="4" spans="1:6" ht="31.5" customHeight="1" thickBot="1">
      <c r="A4" s="1617"/>
      <c r="B4" s="1619"/>
      <c r="C4" s="202" t="s">
        <v>104</v>
      </c>
      <c r="D4" s="203" t="s">
        <v>471</v>
      </c>
      <c r="E4" s="203" t="s">
        <v>618</v>
      </c>
      <c r="F4" s="203" t="s">
        <v>558</v>
      </c>
    </row>
    <row r="5" spans="1:6" s="3" customFormat="1" ht="12.95" customHeight="1" thickBot="1">
      <c r="A5" s="118">
        <v>1</v>
      </c>
      <c r="B5" s="347">
        <v>2</v>
      </c>
      <c r="C5" s="9">
        <v>3</v>
      </c>
      <c r="D5" s="354">
        <v>4</v>
      </c>
      <c r="E5" s="348">
        <v>5</v>
      </c>
      <c r="F5" s="941">
        <v>6</v>
      </c>
    </row>
    <row r="6" spans="1:6" s="102" customFormat="1" ht="16.5" customHeight="1" thickBot="1">
      <c r="A6" s="101" t="s">
        <v>71</v>
      </c>
      <c r="B6" s="60" t="s">
        <v>253</v>
      </c>
      <c r="C6" s="589">
        <f>+C7+C8+C9+C10+C11+C12</f>
        <v>750146</v>
      </c>
      <c r="D6" s="590">
        <f>+D7+D8+D9+D10+D11+D12</f>
        <v>973774</v>
      </c>
      <c r="E6" s="482">
        <f>+E7+E8+E9+E10+E11+E12</f>
        <v>8881</v>
      </c>
      <c r="F6" s="482">
        <f>+F7+F8+F9+F10+F11+F12</f>
        <v>982655</v>
      </c>
    </row>
    <row r="7" spans="1:6" s="6" customFormat="1" ht="16.5" customHeight="1">
      <c r="A7" s="103" t="s">
        <v>18</v>
      </c>
      <c r="B7" s="136" t="s">
        <v>254</v>
      </c>
      <c r="C7" s="591">
        <v>78578</v>
      </c>
      <c r="D7" s="471">
        <v>361026</v>
      </c>
      <c r="E7" s="842">
        <v>-210729</v>
      </c>
      <c r="F7" s="1467">
        <f t="shared" ref="F7:F12" si="0">SUM(D7:E7)</f>
        <v>150297</v>
      </c>
    </row>
    <row r="8" spans="1:6" s="7" customFormat="1" ht="16.5" customHeight="1">
      <c r="A8" s="104" t="s">
        <v>19</v>
      </c>
      <c r="B8" s="137" t="s">
        <v>255</v>
      </c>
      <c r="C8" s="592">
        <v>292230</v>
      </c>
      <c r="D8" s="468">
        <v>293439</v>
      </c>
      <c r="E8" s="843">
        <v>-1937</v>
      </c>
      <c r="F8" s="1089">
        <f t="shared" si="0"/>
        <v>291502</v>
      </c>
    </row>
    <row r="9" spans="1:6" s="7" customFormat="1" ht="16.5" customHeight="1">
      <c r="A9" s="104" t="s">
        <v>20</v>
      </c>
      <c r="B9" s="137" t="s">
        <v>100</v>
      </c>
      <c r="C9" s="592">
        <v>354187</v>
      </c>
      <c r="D9" s="468">
        <v>259287</v>
      </c>
      <c r="E9" s="843">
        <v>226819</v>
      </c>
      <c r="F9" s="1089">
        <f t="shared" si="0"/>
        <v>486106</v>
      </c>
    </row>
    <row r="10" spans="1:6" s="7" customFormat="1" ht="16.5" customHeight="1">
      <c r="A10" s="104" t="s">
        <v>21</v>
      </c>
      <c r="B10" s="137" t="s">
        <v>101</v>
      </c>
      <c r="C10" s="592">
        <v>24902</v>
      </c>
      <c r="D10" s="468">
        <v>24902</v>
      </c>
      <c r="E10" s="843"/>
      <c r="F10" s="1089">
        <f t="shared" si="0"/>
        <v>24902</v>
      </c>
    </row>
    <row r="11" spans="1:6" s="7" customFormat="1" ht="16.5" customHeight="1">
      <c r="A11" s="104" t="s">
        <v>36</v>
      </c>
      <c r="B11" s="137" t="s">
        <v>256</v>
      </c>
      <c r="C11" s="592">
        <v>249</v>
      </c>
      <c r="D11" s="468">
        <v>17162</v>
      </c>
      <c r="E11" s="843">
        <v>-10123</v>
      </c>
      <c r="F11" s="1089">
        <f t="shared" si="0"/>
        <v>7039</v>
      </c>
    </row>
    <row r="12" spans="1:6" s="6" customFormat="1" ht="16.5" customHeight="1" thickBot="1">
      <c r="A12" s="105" t="s">
        <v>22</v>
      </c>
      <c r="B12" s="138" t="s">
        <v>257</v>
      </c>
      <c r="C12" s="593"/>
      <c r="D12" s="568">
        <v>17958</v>
      </c>
      <c r="E12" s="844">
        <v>4851</v>
      </c>
      <c r="F12" s="1089">
        <f t="shared" si="0"/>
        <v>22809</v>
      </c>
    </row>
    <row r="13" spans="1:6" s="6" customFormat="1" ht="29.25" customHeight="1" thickBot="1">
      <c r="A13" s="101" t="s">
        <v>72</v>
      </c>
      <c r="B13" s="139" t="s">
        <v>258</v>
      </c>
      <c r="C13" s="609">
        <f>+C14+C15+C16+C17+C18</f>
        <v>174878</v>
      </c>
      <c r="D13" s="569">
        <f>+D14+D15+D16+D17+D18</f>
        <v>441911</v>
      </c>
      <c r="E13" s="845">
        <f>+E14+E15+E16+E17+E18</f>
        <v>163799</v>
      </c>
      <c r="F13" s="482">
        <f>+F14+F15+F16+F17+F18</f>
        <v>605710</v>
      </c>
    </row>
    <row r="14" spans="1:6" s="6" customFormat="1" ht="16.5" customHeight="1">
      <c r="A14" s="103" t="s">
        <v>24</v>
      </c>
      <c r="B14" s="136" t="s">
        <v>210</v>
      </c>
      <c r="C14" s="591"/>
      <c r="D14" s="472"/>
      <c r="E14" s="846"/>
      <c r="F14" s="873"/>
    </row>
    <row r="15" spans="1:6" s="6" customFormat="1" ht="16.5" customHeight="1">
      <c r="A15" s="104" t="s">
        <v>25</v>
      </c>
      <c r="B15" s="137" t="s">
        <v>259</v>
      </c>
      <c r="C15" s="592"/>
      <c r="D15" s="470"/>
      <c r="E15" s="847"/>
      <c r="F15" s="204"/>
    </row>
    <row r="16" spans="1:6" s="6" customFormat="1" ht="16.5" customHeight="1">
      <c r="A16" s="104" t="s">
        <v>26</v>
      </c>
      <c r="B16" s="137" t="s">
        <v>260</v>
      </c>
      <c r="C16" s="592"/>
      <c r="D16" s="470"/>
      <c r="E16" s="847"/>
      <c r="F16" s="204"/>
    </row>
    <row r="17" spans="1:6" s="6" customFormat="1" ht="16.5" customHeight="1">
      <c r="A17" s="104" t="s">
        <v>27</v>
      </c>
      <c r="B17" s="137" t="s">
        <v>261</v>
      </c>
      <c r="C17" s="592"/>
      <c r="D17" s="470"/>
      <c r="E17" s="847"/>
      <c r="F17" s="204"/>
    </row>
    <row r="18" spans="1:6" s="6" customFormat="1" ht="16.5" customHeight="1">
      <c r="A18" s="104" t="s">
        <v>28</v>
      </c>
      <c r="B18" s="137" t="s">
        <v>262</v>
      </c>
      <c r="C18" s="592">
        <f>SUM(C19:C23)</f>
        <v>174878</v>
      </c>
      <c r="D18" s="495">
        <f>SUM(D19:D23)</f>
        <v>441911</v>
      </c>
      <c r="E18" s="848">
        <f>SUM(E19:E23)</f>
        <v>163799</v>
      </c>
      <c r="F18" s="582">
        <f>SUM(F19:F23)</f>
        <v>605710</v>
      </c>
    </row>
    <row r="19" spans="1:6" s="7" customFormat="1" ht="16.5" customHeight="1">
      <c r="A19" s="104" t="s">
        <v>371</v>
      </c>
      <c r="B19" s="140" t="s">
        <v>370</v>
      </c>
      <c r="C19" s="592"/>
      <c r="D19" s="468">
        <v>182</v>
      </c>
      <c r="E19" s="849">
        <v>4100</v>
      </c>
      <c r="F19" s="1080">
        <f>SUM(D19:E19)</f>
        <v>4282</v>
      </c>
    </row>
    <row r="20" spans="1:6" s="7" customFormat="1" ht="16.5" customHeight="1">
      <c r="A20" s="104" t="s">
        <v>372</v>
      </c>
      <c r="B20" s="140" t="s">
        <v>233</v>
      </c>
      <c r="C20" s="592"/>
      <c r="D20" s="468">
        <v>236596</v>
      </c>
      <c r="E20" s="849">
        <v>79974</v>
      </c>
      <c r="F20" s="1080">
        <f>SUM(D20:E20)</f>
        <v>316570</v>
      </c>
    </row>
    <row r="21" spans="1:6" s="7" customFormat="1" ht="16.5" customHeight="1">
      <c r="A21" s="104" t="s">
        <v>373</v>
      </c>
      <c r="B21" s="140" t="s">
        <v>234</v>
      </c>
      <c r="C21" s="592">
        <v>38139</v>
      </c>
      <c r="D21" s="468">
        <v>38139</v>
      </c>
      <c r="E21" s="849"/>
      <c r="F21" s="1080">
        <f>SUM(D21:E21)</f>
        <v>38139</v>
      </c>
    </row>
    <row r="22" spans="1:6" s="7" customFormat="1" ht="16.5" customHeight="1">
      <c r="A22" s="104" t="s">
        <v>374</v>
      </c>
      <c r="B22" s="140" t="s">
        <v>235</v>
      </c>
      <c r="C22" s="592">
        <v>6675</v>
      </c>
      <c r="D22" s="468">
        <v>37382</v>
      </c>
      <c r="E22" s="843">
        <v>22454</v>
      </c>
      <c r="F22" s="1080">
        <f>SUM(D22:E22)</f>
        <v>59836</v>
      </c>
    </row>
    <row r="23" spans="1:6" s="7" customFormat="1" ht="16.5" customHeight="1" thickBot="1">
      <c r="A23" s="105" t="s">
        <v>375</v>
      </c>
      <c r="B23" s="141" t="s">
        <v>365</v>
      </c>
      <c r="C23" s="593">
        <v>130064</v>
      </c>
      <c r="D23" s="469">
        <v>129612</v>
      </c>
      <c r="E23" s="844">
        <v>57271</v>
      </c>
      <c r="F23" s="1080">
        <f>SUM(D23:E23)</f>
        <v>186883</v>
      </c>
    </row>
    <row r="24" spans="1:6" s="7" customFormat="1" ht="27.75" customHeight="1" thickBot="1">
      <c r="A24" s="101" t="s">
        <v>73</v>
      </c>
      <c r="B24" s="60" t="s">
        <v>263</v>
      </c>
      <c r="C24" s="639">
        <f>+C25+C26+C27+C28+C29</f>
        <v>425653</v>
      </c>
      <c r="D24" s="455">
        <f>+D25+D26+D27+D28+D29</f>
        <v>565571</v>
      </c>
      <c r="E24" s="455">
        <f>+E25+E26+E27+E28+E29</f>
        <v>-57061</v>
      </c>
      <c r="F24" s="482">
        <f>+F25+F26+F27+F28+F29</f>
        <v>508510</v>
      </c>
    </row>
    <row r="25" spans="1:6" s="7" customFormat="1" ht="16.5" customHeight="1">
      <c r="A25" s="103" t="s">
        <v>5</v>
      </c>
      <c r="B25" s="136" t="s">
        <v>264</v>
      </c>
      <c r="C25" s="591"/>
      <c r="D25" s="474">
        <v>122290</v>
      </c>
      <c r="E25" s="850">
        <v>-240</v>
      </c>
      <c r="F25" s="1468">
        <f>SUM(D25:E25)</f>
        <v>122050</v>
      </c>
    </row>
    <row r="26" spans="1:6" s="6" customFormat="1" ht="16.5" customHeight="1">
      <c r="A26" s="104" t="s">
        <v>6</v>
      </c>
      <c r="B26" s="137" t="s">
        <v>265</v>
      </c>
      <c r="C26" s="592"/>
      <c r="D26" s="470"/>
      <c r="E26" s="847"/>
      <c r="F26" s="204"/>
    </row>
    <row r="27" spans="1:6" s="7" customFormat="1" ht="16.5" customHeight="1">
      <c r="A27" s="104" t="s">
        <v>7</v>
      </c>
      <c r="B27" s="137" t="s">
        <v>266</v>
      </c>
      <c r="C27" s="592"/>
      <c r="D27" s="468"/>
      <c r="E27" s="849"/>
      <c r="F27" s="207"/>
    </row>
    <row r="28" spans="1:6" s="7" customFormat="1" ht="16.5" customHeight="1">
      <c r="A28" s="104" t="s">
        <v>8</v>
      </c>
      <c r="B28" s="137" t="s">
        <v>267</v>
      </c>
      <c r="C28" s="592"/>
      <c r="D28" s="468"/>
      <c r="E28" s="849"/>
      <c r="F28" s="207"/>
    </row>
    <row r="29" spans="1:6" s="7" customFormat="1" ht="16.5" customHeight="1">
      <c r="A29" s="104" t="s">
        <v>39</v>
      </c>
      <c r="B29" s="137" t="s">
        <v>268</v>
      </c>
      <c r="C29" s="592">
        <f>SUM(C30:C34)</f>
        <v>425653</v>
      </c>
      <c r="D29" s="495">
        <f>SUM(D30:D34)</f>
        <v>443281</v>
      </c>
      <c r="E29" s="848">
        <f>SUM(E30:E34)</f>
        <v>-56821</v>
      </c>
      <c r="F29" s="582">
        <f>SUM(F30:F34)</f>
        <v>386460</v>
      </c>
    </row>
    <row r="30" spans="1:6" s="7" customFormat="1" ht="16.5" customHeight="1">
      <c r="A30" s="104" t="s">
        <v>376</v>
      </c>
      <c r="B30" s="140" t="s">
        <v>370</v>
      </c>
      <c r="C30" s="592"/>
      <c r="D30" s="468"/>
      <c r="E30" s="849"/>
      <c r="F30" s="207"/>
    </row>
    <row r="31" spans="1:6" s="7" customFormat="1" ht="16.5" customHeight="1">
      <c r="A31" s="104" t="s">
        <v>377</v>
      </c>
      <c r="B31" s="140" t="s">
        <v>233</v>
      </c>
      <c r="C31" s="592"/>
      <c r="D31" s="468">
        <v>9654</v>
      </c>
      <c r="E31" s="849"/>
      <c r="F31" s="1080">
        <f>SUM(D31:E31)</f>
        <v>9654</v>
      </c>
    </row>
    <row r="32" spans="1:6" s="7" customFormat="1" ht="16.5" customHeight="1">
      <c r="A32" s="104" t="s">
        <v>378</v>
      </c>
      <c r="B32" s="140" t="s">
        <v>234</v>
      </c>
      <c r="C32" s="592"/>
      <c r="D32" s="468"/>
      <c r="E32" s="843"/>
      <c r="F32" s="1080"/>
    </row>
    <row r="33" spans="1:6" s="7" customFormat="1" ht="16.5" customHeight="1">
      <c r="A33" s="104" t="s">
        <v>379</v>
      </c>
      <c r="B33" s="140" t="s">
        <v>235</v>
      </c>
      <c r="C33" s="592">
        <v>34000</v>
      </c>
      <c r="D33" s="468">
        <v>41522</v>
      </c>
      <c r="E33" s="843">
        <v>450</v>
      </c>
      <c r="F33" s="1080">
        <f>SUM(D33:E33)</f>
        <v>41972</v>
      </c>
    </row>
    <row r="34" spans="1:6" s="7" customFormat="1" ht="16.5" customHeight="1" thickBot="1">
      <c r="A34" s="105" t="s">
        <v>380</v>
      </c>
      <c r="B34" s="141" t="s">
        <v>365</v>
      </c>
      <c r="C34" s="593">
        <v>391653</v>
      </c>
      <c r="D34" s="469">
        <v>392105</v>
      </c>
      <c r="E34" s="844">
        <v>-57271</v>
      </c>
      <c r="F34" s="1080">
        <f>SUM(D34:E34)</f>
        <v>334834</v>
      </c>
    </row>
    <row r="35" spans="1:6" s="7" customFormat="1" ht="16.5" customHeight="1" thickBot="1">
      <c r="A35" s="101" t="s">
        <v>40</v>
      </c>
      <c r="B35" s="60" t="s">
        <v>269</v>
      </c>
      <c r="C35" s="616">
        <f>+C36+C41+C42+C43</f>
        <v>947000</v>
      </c>
      <c r="D35" s="1017">
        <f>+D36+D41+D42+D43</f>
        <v>947000</v>
      </c>
      <c r="E35" s="1017">
        <f>+E36+E41+E42+E43</f>
        <v>-94000</v>
      </c>
      <c r="F35" s="1478">
        <f>+F36+F41+F42+F43</f>
        <v>853000</v>
      </c>
    </row>
    <row r="36" spans="1:6" s="7" customFormat="1" ht="16.5" customHeight="1">
      <c r="A36" s="103" t="s">
        <v>9</v>
      </c>
      <c r="B36" s="136" t="s">
        <v>270</v>
      </c>
      <c r="C36" s="596">
        <f>SUM(C37:C39)</f>
        <v>882000</v>
      </c>
      <c r="D36" s="597">
        <f>SUM(D37:D39)</f>
        <v>882000</v>
      </c>
      <c r="E36" s="597">
        <f>SUM(E37:E40)</f>
        <v>-98455</v>
      </c>
      <c r="F36" s="1479">
        <f>SUM(F37:F40)</f>
        <v>783545</v>
      </c>
    </row>
    <row r="37" spans="1:6" s="7" customFormat="1" ht="16.5" customHeight="1">
      <c r="A37" s="104" t="s">
        <v>271</v>
      </c>
      <c r="B37" s="142" t="s">
        <v>381</v>
      </c>
      <c r="C37" s="598">
        <v>57000</v>
      </c>
      <c r="D37" s="567">
        <v>57000</v>
      </c>
      <c r="E37" s="852">
        <v>1540</v>
      </c>
      <c r="F37" s="1080">
        <f>SUM(D37:E37)</f>
        <v>58540</v>
      </c>
    </row>
    <row r="38" spans="1:6" s="7" customFormat="1" ht="16.5" customHeight="1">
      <c r="A38" s="104" t="s">
        <v>272</v>
      </c>
      <c r="B38" s="142" t="s">
        <v>382</v>
      </c>
      <c r="C38" s="598">
        <v>75000</v>
      </c>
      <c r="D38" s="567">
        <v>75000</v>
      </c>
      <c r="E38" s="852"/>
      <c r="F38" s="1080">
        <f t="shared" ref="F38:F43" si="1">SUM(D38:E38)</f>
        <v>75000</v>
      </c>
    </row>
    <row r="39" spans="1:6" s="7" customFormat="1" ht="16.5" customHeight="1">
      <c r="A39" s="104" t="s">
        <v>383</v>
      </c>
      <c r="B39" s="142" t="s">
        <v>384</v>
      </c>
      <c r="C39" s="598">
        <v>750000</v>
      </c>
      <c r="D39" s="567">
        <v>750000</v>
      </c>
      <c r="E39" s="852">
        <v>-100000</v>
      </c>
      <c r="F39" s="1080">
        <f t="shared" si="1"/>
        <v>650000</v>
      </c>
    </row>
    <row r="40" spans="1:6" s="7" customFormat="1" ht="16.5" customHeight="1">
      <c r="A40" s="104" t="s">
        <v>590</v>
      </c>
      <c r="B40" s="142" t="s">
        <v>591</v>
      </c>
      <c r="C40" s="598"/>
      <c r="D40" s="567"/>
      <c r="E40" s="852">
        <v>5</v>
      </c>
      <c r="F40" s="1080">
        <f t="shared" si="1"/>
        <v>5</v>
      </c>
    </row>
    <row r="41" spans="1:6" s="7" customFormat="1" ht="16.5" customHeight="1">
      <c r="A41" s="104" t="s">
        <v>10</v>
      </c>
      <c r="B41" s="137" t="s">
        <v>273</v>
      </c>
      <c r="C41" s="592">
        <v>45000</v>
      </c>
      <c r="D41" s="468">
        <v>45000</v>
      </c>
      <c r="E41" s="852"/>
      <c r="F41" s="1080">
        <f t="shared" si="1"/>
        <v>45000</v>
      </c>
    </row>
    <row r="42" spans="1:6" s="7" customFormat="1" ht="16.5" customHeight="1">
      <c r="A42" s="104" t="s">
        <v>215</v>
      </c>
      <c r="B42" s="137" t="s">
        <v>385</v>
      </c>
      <c r="C42" s="592">
        <v>4000</v>
      </c>
      <c r="D42" s="468">
        <v>4000</v>
      </c>
      <c r="E42" s="849">
        <v>1045</v>
      </c>
      <c r="F42" s="1080">
        <f t="shared" si="1"/>
        <v>5045</v>
      </c>
    </row>
    <row r="43" spans="1:6" s="7" customFormat="1" ht="16.5" customHeight="1" thickBot="1">
      <c r="A43" s="105" t="s">
        <v>238</v>
      </c>
      <c r="B43" s="138" t="s">
        <v>386</v>
      </c>
      <c r="C43" s="593">
        <v>16000</v>
      </c>
      <c r="D43" s="469">
        <v>16000</v>
      </c>
      <c r="E43" s="853">
        <v>3410</v>
      </c>
      <c r="F43" s="1080">
        <f t="shared" si="1"/>
        <v>19410</v>
      </c>
    </row>
    <row r="44" spans="1:6" s="7" customFormat="1" ht="16.5" customHeight="1" thickBot="1">
      <c r="A44" s="101" t="s">
        <v>75</v>
      </c>
      <c r="B44" s="60" t="s">
        <v>274</v>
      </c>
      <c r="C44" s="609">
        <f>C45+C46+C50+C51+C52+C53+C54+C55+C56+C57</f>
        <v>360781</v>
      </c>
      <c r="D44" s="569">
        <f>D45+D46+D50+D51+D52+D53+D54+D55+D56+D57</f>
        <v>360889</v>
      </c>
      <c r="E44" s="569">
        <f>E45+E46+E50+E51+E52+E53+E54+E55+E56+E57</f>
        <v>-1</v>
      </c>
      <c r="F44" s="570">
        <f>F45+F46+F50+F51+F52+F53+F54+F55+F56+F57</f>
        <v>360888</v>
      </c>
    </row>
    <row r="45" spans="1:6" s="7" customFormat="1" ht="16.5" customHeight="1">
      <c r="A45" s="110" t="s">
        <v>11</v>
      </c>
      <c r="B45" s="208" t="s">
        <v>199</v>
      </c>
      <c r="C45" s="1469"/>
      <c r="D45" s="1470"/>
      <c r="E45" s="1000"/>
      <c r="F45" s="877"/>
    </row>
    <row r="46" spans="1:6" s="7" customFormat="1" ht="16.5" customHeight="1">
      <c r="A46" s="104" t="s">
        <v>12</v>
      </c>
      <c r="B46" s="137" t="s">
        <v>200</v>
      </c>
      <c r="C46" s="592">
        <f>SUM(C47:C49)</f>
        <v>145365</v>
      </c>
      <c r="D46" s="495">
        <f>SUM(D47:D49)</f>
        <v>141079</v>
      </c>
      <c r="E46" s="495">
        <f>SUM(E47:E49)</f>
        <v>1059</v>
      </c>
      <c r="F46" s="1471">
        <f>SUM(F47:F49)</f>
        <v>142138</v>
      </c>
    </row>
    <row r="47" spans="1:6" s="7" customFormat="1" ht="16.5" customHeight="1">
      <c r="A47" s="104" t="s">
        <v>387</v>
      </c>
      <c r="B47" s="143" t="s">
        <v>249</v>
      </c>
      <c r="C47" s="599">
        <v>7900</v>
      </c>
      <c r="D47" s="468">
        <v>7900</v>
      </c>
      <c r="E47" s="854">
        <v>1800</v>
      </c>
      <c r="F47" s="1080">
        <f>SUM(D47:E47)</f>
        <v>9700</v>
      </c>
    </row>
    <row r="48" spans="1:6" s="7" customFormat="1" ht="16.5" customHeight="1">
      <c r="A48" s="104" t="s">
        <v>388</v>
      </c>
      <c r="B48" s="143" t="s">
        <v>250</v>
      </c>
      <c r="C48" s="599">
        <v>37367</v>
      </c>
      <c r="D48" s="468">
        <v>33547</v>
      </c>
      <c r="E48" s="843">
        <v>-145</v>
      </c>
      <c r="F48" s="1080">
        <f t="shared" ref="F48:F57" si="2">SUM(D48:E48)</f>
        <v>33402</v>
      </c>
    </row>
    <row r="49" spans="1:6" s="7" customFormat="1" ht="16.5" customHeight="1">
      <c r="A49" s="104" t="s">
        <v>389</v>
      </c>
      <c r="B49" s="143" t="s">
        <v>251</v>
      </c>
      <c r="C49" s="599">
        <v>100098</v>
      </c>
      <c r="D49" s="468">
        <v>99632</v>
      </c>
      <c r="E49" s="843">
        <v>-596</v>
      </c>
      <c r="F49" s="1080">
        <f t="shared" si="2"/>
        <v>99036</v>
      </c>
    </row>
    <row r="50" spans="1:6" s="7" customFormat="1" ht="16.5" customHeight="1">
      <c r="A50" s="104" t="s">
        <v>13</v>
      </c>
      <c r="B50" s="137" t="s">
        <v>201</v>
      </c>
      <c r="C50" s="592">
        <v>25793</v>
      </c>
      <c r="D50" s="468">
        <v>25793</v>
      </c>
      <c r="E50" s="843">
        <v>152</v>
      </c>
      <c r="F50" s="1080">
        <f t="shared" si="2"/>
        <v>25945</v>
      </c>
    </row>
    <row r="51" spans="1:6" s="7" customFormat="1" ht="16.5" customHeight="1">
      <c r="A51" s="104" t="s">
        <v>42</v>
      </c>
      <c r="B51" s="137" t="s">
        <v>202</v>
      </c>
      <c r="C51" s="592"/>
      <c r="D51" s="468"/>
      <c r="E51" s="843"/>
      <c r="F51" s="1080">
        <f t="shared" si="2"/>
        <v>0</v>
      </c>
    </row>
    <row r="52" spans="1:6" s="7" customFormat="1" ht="16.5" customHeight="1">
      <c r="A52" s="104" t="s">
        <v>43</v>
      </c>
      <c r="B52" s="137" t="s">
        <v>203</v>
      </c>
      <c r="C52" s="592">
        <v>66280</v>
      </c>
      <c r="D52" s="468">
        <v>66280</v>
      </c>
      <c r="E52" s="843">
        <v>-2321</v>
      </c>
      <c r="F52" s="1080">
        <f t="shared" si="2"/>
        <v>63959</v>
      </c>
    </row>
    <row r="53" spans="1:6" s="7" customFormat="1" ht="16.5" customHeight="1">
      <c r="A53" s="104" t="s">
        <v>44</v>
      </c>
      <c r="B53" s="137" t="s">
        <v>275</v>
      </c>
      <c r="C53" s="592">
        <v>105547</v>
      </c>
      <c r="D53" s="468">
        <v>105547</v>
      </c>
      <c r="E53" s="843"/>
      <c r="F53" s="1080">
        <f t="shared" si="2"/>
        <v>105547</v>
      </c>
    </row>
    <row r="54" spans="1:6" s="7" customFormat="1" ht="16.5" customHeight="1">
      <c r="A54" s="104" t="s">
        <v>45</v>
      </c>
      <c r="B54" s="137" t="s">
        <v>276</v>
      </c>
      <c r="C54" s="592">
        <v>10540</v>
      </c>
      <c r="D54" s="468">
        <v>10540</v>
      </c>
      <c r="E54" s="843"/>
      <c r="F54" s="1080">
        <f t="shared" si="2"/>
        <v>10540</v>
      </c>
    </row>
    <row r="55" spans="1:6" s="7" customFormat="1" ht="16.5" customHeight="1">
      <c r="A55" s="104" t="s">
        <v>46</v>
      </c>
      <c r="B55" s="137" t="s">
        <v>206</v>
      </c>
      <c r="C55" s="592">
        <v>3025</v>
      </c>
      <c r="D55" s="468">
        <v>225</v>
      </c>
      <c r="E55" s="843"/>
      <c r="F55" s="1080">
        <f t="shared" si="2"/>
        <v>225</v>
      </c>
    </row>
    <row r="56" spans="1:6" s="7" customFormat="1" ht="16.5" customHeight="1">
      <c r="A56" s="104" t="s">
        <v>99</v>
      </c>
      <c r="B56" s="137" t="s">
        <v>207</v>
      </c>
      <c r="C56" s="600"/>
      <c r="D56" s="468">
        <v>6620</v>
      </c>
      <c r="E56" s="843"/>
      <c r="F56" s="1080">
        <f t="shared" si="2"/>
        <v>6620</v>
      </c>
    </row>
    <row r="57" spans="1:6" s="7" customFormat="1" ht="16.5" customHeight="1" thickBot="1">
      <c r="A57" s="209" t="s">
        <v>277</v>
      </c>
      <c r="B57" s="214" t="s">
        <v>208</v>
      </c>
      <c r="C57" s="1472">
        <v>4231</v>
      </c>
      <c r="D57" s="1435">
        <v>4805</v>
      </c>
      <c r="E57" s="844">
        <v>1109</v>
      </c>
      <c r="F57" s="1343">
        <f t="shared" si="2"/>
        <v>5914</v>
      </c>
    </row>
    <row r="58" spans="1:6" s="7" customFormat="1" ht="16.5" customHeight="1" thickBot="1">
      <c r="A58" s="101" t="s">
        <v>76</v>
      </c>
      <c r="B58" s="60" t="s">
        <v>278</v>
      </c>
      <c r="C58" s="609">
        <f>SUM(C59:C62)</f>
        <v>351328</v>
      </c>
      <c r="D58" s="569">
        <f>SUM(D59:D62)</f>
        <v>276587</v>
      </c>
      <c r="E58" s="569">
        <f>SUM(E59:E62)</f>
        <v>-34000</v>
      </c>
      <c r="F58" s="570">
        <f>SUM(F59:F62)</f>
        <v>242587</v>
      </c>
    </row>
    <row r="59" spans="1:6" s="7" customFormat="1" ht="16.5" customHeight="1">
      <c r="A59" s="110" t="s">
        <v>14</v>
      </c>
      <c r="B59" s="208" t="s">
        <v>217</v>
      </c>
      <c r="C59" s="1473"/>
      <c r="D59" s="1470"/>
      <c r="E59" s="1000"/>
      <c r="F59" s="877"/>
    </row>
    <row r="60" spans="1:6" s="7" customFormat="1" ht="16.5" customHeight="1">
      <c r="A60" s="104" t="s">
        <v>15</v>
      </c>
      <c r="B60" s="137" t="s">
        <v>218</v>
      </c>
      <c r="C60" s="600">
        <v>17495</v>
      </c>
      <c r="D60" s="468">
        <v>17495</v>
      </c>
      <c r="E60" s="855"/>
      <c r="F60" s="1090">
        <f>SUM(D60:E60)</f>
        <v>17495</v>
      </c>
    </row>
    <row r="61" spans="1:6" s="7" customFormat="1" ht="16.5" customHeight="1">
      <c r="A61" s="104" t="s">
        <v>279</v>
      </c>
      <c r="B61" s="137" t="s">
        <v>219</v>
      </c>
      <c r="C61" s="600"/>
      <c r="D61" s="468">
        <v>230</v>
      </c>
      <c r="E61" s="849"/>
      <c r="F61" s="1080">
        <f>SUM(D61:E61)</f>
        <v>230</v>
      </c>
    </row>
    <row r="62" spans="1:6" s="7" customFormat="1" ht="16.5" customHeight="1">
      <c r="A62" s="104" t="s">
        <v>280</v>
      </c>
      <c r="B62" s="144" t="s">
        <v>120</v>
      </c>
      <c r="C62" s="786">
        <f>SUM(C63:C66)</f>
        <v>333833</v>
      </c>
      <c r="D62" s="786">
        <f>SUM(D63:D66)</f>
        <v>258862</v>
      </c>
      <c r="E62" s="786">
        <f>SUM(E63:E66)</f>
        <v>-34000</v>
      </c>
      <c r="F62" s="1476">
        <f>SUM(F63:F66)</f>
        <v>224862</v>
      </c>
    </row>
    <row r="63" spans="1:6" s="7" customFormat="1" ht="16.5" customHeight="1">
      <c r="A63" s="105" t="s">
        <v>392</v>
      </c>
      <c r="B63" s="143" t="s">
        <v>390</v>
      </c>
      <c r="C63" s="598">
        <v>181333</v>
      </c>
      <c r="D63" s="567">
        <v>79333</v>
      </c>
      <c r="E63" s="856">
        <v>-34000</v>
      </c>
      <c r="F63" s="882">
        <f>SUM(D63:E63)</f>
        <v>45333</v>
      </c>
    </row>
    <row r="64" spans="1:6" s="7" customFormat="1" ht="16.5" customHeight="1">
      <c r="A64" s="105" t="s">
        <v>393</v>
      </c>
      <c r="B64" s="143" t="s">
        <v>391</v>
      </c>
      <c r="C64" s="598">
        <v>5000</v>
      </c>
      <c r="D64" s="567">
        <v>5000</v>
      </c>
      <c r="E64" s="849"/>
      <c r="F64" s="1080">
        <f>SUM(D64:E64)</f>
        <v>5000</v>
      </c>
    </row>
    <row r="65" spans="1:6" s="7" customFormat="1" ht="16.5" customHeight="1">
      <c r="A65" s="105" t="s">
        <v>394</v>
      </c>
      <c r="B65" s="332" t="s">
        <v>395</v>
      </c>
      <c r="C65" s="607">
        <v>147500</v>
      </c>
      <c r="D65" s="608">
        <v>147500</v>
      </c>
      <c r="E65" s="853"/>
      <c r="F65" s="1099">
        <f>SUM(D65:E65)</f>
        <v>147500</v>
      </c>
    </row>
    <row r="66" spans="1:6" s="7" customFormat="1" ht="16.5" customHeight="1" thickBot="1">
      <c r="A66" s="209" t="s">
        <v>599</v>
      </c>
      <c r="B66" s="1453" t="s">
        <v>617</v>
      </c>
      <c r="C66" s="1474"/>
      <c r="D66" s="1475">
        <v>27029</v>
      </c>
      <c r="E66" s="1454"/>
      <c r="F66" s="1343">
        <f>SUM(D66:E66)</f>
        <v>27029</v>
      </c>
    </row>
    <row r="67" spans="1:6" s="7" customFormat="1" ht="16.5" customHeight="1" thickBot="1">
      <c r="A67" s="101" t="s">
        <v>47</v>
      </c>
      <c r="B67" s="60" t="s">
        <v>281</v>
      </c>
      <c r="C67" s="589">
        <f>SUM(C68:C70)</f>
        <v>0</v>
      </c>
      <c r="D67" s="569">
        <f>SUM(D68:D70)</f>
        <v>0</v>
      </c>
      <c r="E67" s="569">
        <f>SUM(E68:E70)</f>
        <v>0</v>
      </c>
      <c r="F67" s="570">
        <f>SUM(F68:F70)</f>
        <v>0</v>
      </c>
    </row>
    <row r="68" spans="1:6" s="7" customFormat="1" ht="29.25" customHeight="1">
      <c r="A68" s="103" t="s">
        <v>16</v>
      </c>
      <c r="B68" s="136" t="s">
        <v>282</v>
      </c>
      <c r="C68" s="591"/>
      <c r="D68" s="474"/>
      <c r="E68" s="1560"/>
      <c r="F68" s="1561"/>
    </row>
    <row r="69" spans="1:6" s="7" customFormat="1" ht="27" customHeight="1">
      <c r="A69" s="104" t="s">
        <v>17</v>
      </c>
      <c r="B69" s="137" t="s">
        <v>283</v>
      </c>
      <c r="C69" s="592"/>
      <c r="D69" s="468"/>
      <c r="E69" s="855"/>
      <c r="F69" s="213"/>
    </row>
    <row r="70" spans="1:6" s="7" customFormat="1" ht="16.5" customHeight="1" thickBot="1">
      <c r="A70" s="105" t="s">
        <v>48</v>
      </c>
      <c r="B70" s="138" t="s">
        <v>284</v>
      </c>
      <c r="C70" s="593"/>
      <c r="D70" s="469"/>
      <c r="E70" s="853"/>
      <c r="F70" s="1099">
        <f>SUM(D70:E70)</f>
        <v>0</v>
      </c>
    </row>
    <row r="71" spans="1:6" s="7" customFormat="1" ht="16.5" customHeight="1" thickBot="1">
      <c r="A71" s="101" t="s">
        <v>78</v>
      </c>
      <c r="B71" s="139" t="s">
        <v>285</v>
      </c>
      <c r="C71" s="609">
        <f>SUM(C72:C74)</f>
        <v>4000</v>
      </c>
      <c r="D71" s="569">
        <f>SUM(D72:D74)</f>
        <v>16442</v>
      </c>
      <c r="E71" s="569">
        <f>SUM(E72:E74)</f>
        <v>2051</v>
      </c>
      <c r="F71" s="570">
        <f>SUM(F72:F74)</f>
        <v>18493</v>
      </c>
    </row>
    <row r="72" spans="1:6" s="7" customFormat="1" ht="30.75" customHeight="1">
      <c r="A72" s="103" t="s">
        <v>49</v>
      </c>
      <c r="B72" s="136" t="s">
        <v>286</v>
      </c>
      <c r="C72" s="602"/>
      <c r="D72" s="474"/>
      <c r="E72" s="1000"/>
      <c r="F72" s="1001"/>
    </row>
    <row r="73" spans="1:6" s="7" customFormat="1" ht="30" customHeight="1">
      <c r="A73" s="104" t="s">
        <v>50</v>
      </c>
      <c r="B73" s="137" t="s">
        <v>408</v>
      </c>
      <c r="C73" s="600">
        <v>4000</v>
      </c>
      <c r="D73" s="468">
        <v>4000</v>
      </c>
      <c r="E73" s="855"/>
      <c r="F73" s="1090">
        <f>SUM(D73:E73)</f>
        <v>4000</v>
      </c>
    </row>
    <row r="74" spans="1:6" s="7" customFormat="1" ht="16.5" customHeight="1" thickBot="1">
      <c r="A74" s="209" t="s">
        <v>107</v>
      </c>
      <c r="B74" s="214" t="s">
        <v>287</v>
      </c>
      <c r="C74" s="1472"/>
      <c r="D74" s="1435">
        <v>12442</v>
      </c>
      <c r="E74" s="1454">
        <v>2051</v>
      </c>
      <c r="F74" s="1343">
        <f>SUM(D74:E74)</f>
        <v>14493</v>
      </c>
    </row>
    <row r="75" spans="1:6" s="7" customFormat="1" ht="16.5" customHeight="1" thickBot="1">
      <c r="A75" s="101" t="s">
        <v>79</v>
      </c>
      <c r="B75" s="60" t="s">
        <v>288</v>
      </c>
      <c r="C75" s="777">
        <f>+C6+C13+C24+C35+C44+C58+C67+C71</f>
        <v>3013786</v>
      </c>
      <c r="D75" s="603">
        <f>+D6+D13+D24+D35+D44+D58+D67+D71</f>
        <v>3582174</v>
      </c>
      <c r="E75" s="603">
        <f>+E6+E13+E24+E35+E44+E58+E67+E71</f>
        <v>-10331</v>
      </c>
      <c r="F75" s="1477">
        <f>+F6+F13+F24+F35+F44+F58+F67+F71</f>
        <v>3571843</v>
      </c>
    </row>
    <row r="76" spans="1:6" s="7" customFormat="1" ht="16.5" customHeight="1" thickBot="1">
      <c r="A76" s="57" t="s">
        <v>289</v>
      </c>
      <c r="B76" s="139" t="s">
        <v>290</v>
      </c>
      <c r="C76" s="609">
        <f>SUM(C77:C79)</f>
        <v>0</v>
      </c>
      <c r="D76" s="569">
        <f>SUM(D77:D79)</f>
        <v>0</v>
      </c>
      <c r="E76" s="569">
        <f>SUM(E77:E79)</f>
        <v>0</v>
      </c>
      <c r="F76" s="570">
        <f>SUM(F77:F79)</f>
        <v>0</v>
      </c>
    </row>
    <row r="77" spans="1:6" s="7" customFormat="1" ht="16.5" customHeight="1">
      <c r="A77" s="103" t="s">
        <v>291</v>
      </c>
      <c r="B77" s="136" t="s">
        <v>292</v>
      </c>
      <c r="C77" s="611"/>
      <c r="D77" s="474"/>
      <c r="E77" s="1000"/>
      <c r="F77" s="1001"/>
    </row>
    <row r="78" spans="1:6" s="7" customFormat="1" ht="16.5" customHeight="1">
      <c r="A78" s="104" t="s">
        <v>293</v>
      </c>
      <c r="B78" s="137" t="s">
        <v>294</v>
      </c>
      <c r="C78" s="778"/>
      <c r="D78" s="468"/>
      <c r="E78" s="855"/>
      <c r="F78" s="213"/>
    </row>
    <row r="79" spans="1:6" s="7" customFormat="1" ht="16.5" customHeight="1" thickBot="1">
      <c r="A79" s="105" t="s">
        <v>295</v>
      </c>
      <c r="B79" s="145" t="s">
        <v>396</v>
      </c>
      <c r="C79" s="779"/>
      <c r="D79" s="469"/>
      <c r="E79" s="853"/>
      <c r="F79" s="220"/>
    </row>
    <row r="80" spans="1:6" s="7" customFormat="1" ht="16.5" customHeight="1" thickBot="1">
      <c r="A80" s="57" t="s">
        <v>296</v>
      </c>
      <c r="B80" s="139" t="s">
        <v>297</v>
      </c>
      <c r="C80" s="609">
        <f>SUM(C81:C84)</f>
        <v>0</v>
      </c>
      <c r="D80" s="569">
        <f>SUM(D81:D84)</f>
        <v>908981</v>
      </c>
      <c r="E80" s="569">
        <f>SUM(E81:E84)</f>
        <v>202718</v>
      </c>
      <c r="F80" s="570">
        <f>SUM(F81:F84)</f>
        <v>1111699</v>
      </c>
    </row>
    <row r="81" spans="1:6" s="7" customFormat="1" ht="16.5" customHeight="1">
      <c r="A81" s="103" t="s">
        <v>37</v>
      </c>
      <c r="B81" s="136" t="s">
        <v>298</v>
      </c>
      <c r="C81" s="611"/>
      <c r="D81" s="474">
        <v>908981</v>
      </c>
      <c r="E81" s="1560">
        <v>202718</v>
      </c>
      <c r="F81" s="1001">
        <f>SUM(D81:E81)</f>
        <v>1111699</v>
      </c>
    </row>
    <row r="82" spans="1:6" s="7" customFormat="1" ht="16.5" customHeight="1">
      <c r="A82" s="104" t="s">
        <v>38</v>
      </c>
      <c r="B82" s="137" t="s">
        <v>299</v>
      </c>
      <c r="C82" s="778"/>
      <c r="D82" s="468"/>
      <c r="E82" s="855"/>
      <c r="F82" s="213"/>
    </row>
    <row r="83" spans="1:6" s="7" customFormat="1" ht="16.5" customHeight="1">
      <c r="A83" s="104" t="s">
        <v>300</v>
      </c>
      <c r="B83" s="137" t="s">
        <v>301</v>
      </c>
      <c r="C83" s="600"/>
      <c r="D83" s="468"/>
      <c r="E83" s="849"/>
      <c r="F83" s="207"/>
    </row>
    <row r="84" spans="1:6" s="7" customFormat="1" ht="16.5" customHeight="1" thickBot="1">
      <c r="A84" s="105" t="s">
        <v>302</v>
      </c>
      <c r="B84" s="138" t="s">
        <v>303</v>
      </c>
      <c r="C84" s="601"/>
      <c r="D84" s="469"/>
      <c r="E84" s="853"/>
      <c r="F84" s="220"/>
    </row>
    <row r="85" spans="1:6" s="7" customFormat="1" ht="16.5" customHeight="1" thickBot="1">
      <c r="A85" s="57" t="s">
        <v>304</v>
      </c>
      <c r="B85" s="139" t="s">
        <v>305</v>
      </c>
      <c r="C85" s="609">
        <f>SUM(C86+C89)</f>
        <v>692257</v>
      </c>
      <c r="D85" s="569">
        <f>SUM(D86+D89)</f>
        <v>1115252</v>
      </c>
      <c r="E85" s="569">
        <f>SUM(E86+E89)</f>
        <v>0</v>
      </c>
      <c r="F85" s="570">
        <f>SUM(F86+F89)</f>
        <v>1115252</v>
      </c>
    </row>
    <row r="86" spans="1:6" s="7" customFormat="1" ht="16.5" customHeight="1">
      <c r="A86" s="103" t="s">
        <v>51</v>
      </c>
      <c r="B86" s="136" t="s">
        <v>306</v>
      </c>
      <c r="C86" s="611">
        <f>SUM(C87:C88)</f>
        <v>692257</v>
      </c>
      <c r="D86" s="604">
        <f>SUM(D87:D88)</f>
        <v>1115252</v>
      </c>
      <c r="E86" s="604">
        <f>SUM(E87:E88)</f>
        <v>0</v>
      </c>
      <c r="F86" s="1433">
        <f>SUM(F87:F88)</f>
        <v>1115252</v>
      </c>
    </row>
    <row r="87" spans="1:6" s="7" customFormat="1" ht="16.5" customHeight="1">
      <c r="A87" s="104" t="s">
        <v>399</v>
      </c>
      <c r="B87" s="146" t="s">
        <v>397</v>
      </c>
      <c r="C87" s="610">
        <v>335144</v>
      </c>
      <c r="D87" s="468">
        <v>571742</v>
      </c>
      <c r="E87" s="857"/>
      <c r="F87" s="755">
        <f>SUM(D87:E87)</f>
        <v>571742</v>
      </c>
    </row>
    <row r="88" spans="1:6" s="7" customFormat="1" ht="16.5" customHeight="1">
      <c r="A88" s="111" t="s">
        <v>400</v>
      </c>
      <c r="B88" s="146" t="s">
        <v>398</v>
      </c>
      <c r="C88" s="610">
        <v>357113</v>
      </c>
      <c r="D88" s="468">
        <v>543510</v>
      </c>
      <c r="E88" s="852"/>
      <c r="F88" s="755">
        <f>SUM(D88:E88)</f>
        <v>543510</v>
      </c>
    </row>
    <row r="89" spans="1:6" s="7" customFormat="1" ht="16.5" customHeight="1" thickBot="1">
      <c r="A89" s="105" t="s">
        <v>52</v>
      </c>
      <c r="B89" s="138" t="s">
        <v>307</v>
      </c>
      <c r="C89" s="601"/>
      <c r="D89" s="469"/>
      <c r="E89" s="1002"/>
      <c r="F89" s="220"/>
    </row>
    <row r="90" spans="1:6" s="6" customFormat="1" ht="16.5" customHeight="1" thickBot="1">
      <c r="A90" s="57" t="s">
        <v>308</v>
      </c>
      <c r="B90" s="139" t="s">
        <v>309</v>
      </c>
      <c r="C90" s="589">
        <f>SUM(C91:C93)</f>
        <v>0</v>
      </c>
      <c r="D90" s="569">
        <f>SUM(D91:D93)</f>
        <v>0</v>
      </c>
      <c r="E90" s="569">
        <f>SUM(E91:E93)</f>
        <v>0</v>
      </c>
      <c r="F90" s="570">
        <f>SUM(F91:F93)</f>
        <v>0</v>
      </c>
    </row>
    <row r="91" spans="1:6" s="7" customFormat="1" ht="16.5" customHeight="1">
      <c r="A91" s="103" t="s">
        <v>310</v>
      </c>
      <c r="B91" s="136" t="s">
        <v>311</v>
      </c>
      <c r="C91" s="602"/>
      <c r="D91" s="474"/>
      <c r="E91" s="1000"/>
      <c r="F91" s="1001"/>
    </row>
    <row r="92" spans="1:6" s="7" customFormat="1" ht="16.5" customHeight="1">
      <c r="A92" s="104" t="s">
        <v>312</v>
      </c>
      <c r="B92" s="137" t="s">
        <v>313</v>
      </c>
      <c r="C92" s="600"/>
      <c r="D92" s="468"/>
      <c r="E92" s="855"/>
      <c r="F92" s="213"/>
    </row>
    <row r="93" spans="1:6" s="7" customFormat="1" ht="16.5" customHeight="1" thickBot="1">
      <c r="A93" s="105" t="s">
        <v>314</v>
      </c>
      <c r="B93" s="138" t="s">
        <v>315</v>
      </c>
      <c r="C93" s="601"/>
      <c r="D93" s="469"/>
      <c r="E93" s="853"/>
      <c r="F93" s="220"/>
    </row>
    <row r="94" spans="1:6" s="7" customFormat="1" ht="16.5" customHeight="1" thickBot="1">
      <c r="A94" s="57" t="s">
        <v>316</v>
      </c>
      <c r="B94" s="139" t="s">
        <v>317</v>
      </c>
      <c r="C94" s="589">
        <f>SUM(C95:C98)</f>
        <v>0</v>
      </c>
      <c r="D94" s="569">
        <f>SUM(D95:D98)</f>
        <v>0</v>
      </c>
      <c r="E94" s="569">
        <f>SUM(E95:E98)</f>
        <v>0</v>
      </c>
      <c r="F94" s="570">
        <f>SUM(F95:F98)</f>
        <v>0</v>
      </c>
    </row>
    <row r="95" spans="1:6" s="7" customFormat="1" ht="16.5" customHeight="1">
      <c r="A95" s="106" t="s">
        <v>318</v>
      </c>
      <c r="B95" s="136" t="s">
        <v>319</v>
      </c>
      <c r="C95" s="602"/>
      <c r="D95" s="474"/>
      <c r="E95" s="1000"/>
      <c r="F95" s="1001"/>
    </row>
    <row r="96" spans="1:6" s="7" customFormat="1" ht="16.5" customHeight="1">
      <c r="A96" s="107" t="s">
        <v>320</v>
      </c>
      <c r="B96" s="137" t="s">
        <v>321</v>
      </c>
      <c r="C96" s="600"/>
      <c r="D96" s="468"/>
      <c r="E96" s="855"/>
      <c r="F96" s="213"/>
    </row>
    <row r="97" spans="1:6" s="7" customFormat="1" ht="16.5" customHeight="1">
      <c r="A97" s="107" t="s">
        <v>322</v>
      </c>
      <c r="B97" s="137" t="s">
        <v>323</v>
      </c>
      <c r="C97" s="600"/>
      <c r="D97" s="468"/>
      <c r="E97" s="849"/>
      <c r="F97" s="207"/>
    </row>
    <row r="98" spans="1:6" s="6" customFormat="1" ht="16.5" customHeight="1" thickBot="1">
      <c r="A98" s="108" t="s">
        <v>324</v>
      </c>
      <c r="B98" s="138" t="s">
        <v>325</v>
      </c>
      <c r="C98" s="601"/>
      <c r="D98" s="473"/>
      <c r="E98" s="853"/>
      <c r="F98" s="220"/>
    </row>
    <row r="99" spans="1:6" s="6" customFormat="1" ht="16.5" customHeight="1" thickBot="1">
      <c r="A99" s="57" t="s">
        <v>326</v>
      </c>
      <c r="B99" s="139" t="s">
        <v>327</v>
      </c>
      <c r="C99" s="605"/>
      <c r="D99" s="606"/>
      <c r="E99" s="859"/>
      <c r="F99" s="201"/>
    </row>
    <row r="100" spans="1:6" s="6" customFormat="1" ht="16.5" customHeight="1" thickBot="1">
      <c r="A100" s="57" t="s">
        <v>328</v>
      </c>
      <c r="B100" s="147" t="s">
        <v>329</v>
      </c>
      <c r="C100" s="594">
        <f>+C76+C80+C85+C90+C94+C99</f>
        <v>692257</v>
      </c>
      <c r="D100" s="603">
        <f>+D76+D80+D85+D90+D94+D99</f>
        <v>2024233</v>
      </c>
      <c r="E100" s="603">
        <f>+E76+E80+E85+E90+E94+E99</f>
        <v>202718</v>
      </c>
      <c r="F100" s="1477">
        <f>+F76+F80+F85+F90+F94+F99</f>
        <v>2226951</v>
      </c>
    </row>
    <row r="101" spans="1:6" s="6" customFormat="1" ht="16.5" customHeight="1" thickBot="1">
      <c r="A101" s="57" t="s">
        <v>330</v>
      </c>
      <c r="B101" s="147" t="s">
        <v>331</v>
      </c>
      <c r="C101" s="594">
        <f>+C75+C100</f>
        <v>3706043</v>
      </c>
      <c r="D101" s="603">
        <f>+D75+D100</f>
        <v>5606407</v>
      </c>
      <c r="E101" s="603">
        <f>+E75+E100</f>
        <v>192387</v>
      </c>
      <c r="F101" s="1477">
        <f>+F75+F100</f>
        <v>5798794</v>
      </c>
    </row>
    <row r="102" spans="1:6" s="6" customFormat="1" ht="16.5" customHeight="1">
      <c r="A102" s="351"/>
      <c r="B102" s="336"/>
      <c r="C102" s="352"/>
      <c r="D102" s="337"/>
      <c r="E102" s="1005"/>
      <c r="F102" s="1005"/>
    </row>
    <row r="103" spans="1:6" s="3" customFormat="1" ht="27" customHeight="1" thickBot="1">
      <c r="A103" s="1620" t="s">
        <v>2</v>
      </c>
      <c r="B103" s="1621"/>
      <c r="C103" s="1621"/>
      <c r="D103" s="1621"/>
      <c r="E103" s="1621"/>
    </row>
    <row r="104" spans="1:6" s="3" customFormat="1" ht="31.5" customHeight="1" thickBot="1">
      <c r="A104" s="998" t="s">
        <v>59</v>
      </c>
      <c r="B104" s="916" t="s">
        <v>0</v>
      </c>
      <c r="C104" s="917" t="s">
        <v>104</v>
      </c>
      <c r="D104" s="918" t="s">
        <v>471</v>
      </c>
      <c r="E104" s="918" t="s">
        <v>618</v>
      </c>
      <c r="F104" s="918" t="s">
        <v>558</v>
      </c>
    </row>
    <row r="105" spans="1:6" s="3" customFormat="1" ht="12" customHeight="1" thickBot="1">
      <c r="A105" s="270">
        <v>1</v>
      </c>
      <c r="B105" s="9">
        <v>2</v>
      </c>
      <c r="C105" s="9">
        <v>3</v>
      </c>
      <c r="D105" s="1006">
        <v>4</v>
      </c>
      <c r="E105" s="9">
        <v>5</v>
      </c>
      <c r="F105" s="1008">
        <v>6</v>
      </c>
    </row>
    <row r="106" spans="1:6" s="6" customFormat="1" ht="16.5" customHeight="1" thickBot="1">
      <c r="A106" s="101" t="s">
        <v>71</v>
      </c>
      <c r="B106" s="149" t="s">
        <v>364</v>
      </c>
      <c r="C106" s="789">
        <f>SUM(C107:C111)</f>
        <v>1922913</v>
      </c>
      <c r="D106" s="790">
        <f>SUM(D107:D111)</f>
        <v>2558007</v>
      </c>
      <c r="E106" s="837">
        <f>SUM(E107:E111)</f>
        <v>176806</v>
      </c>
      <c r="F106" s="1437">
        <f>SUM(F107:F111)</f>
        <v>2734813</v>
      </c>
    </row>
    <row r="107" spans="1:6" s="26" customFormat="1" ht="16.5" customHeight="1">
      <c r="A107" s="103" t="s">
        <v>18</v>
      </c>
      <c r="B107" s="159" t="s">
        <v>98</v>
      </c>
      <c r="C107" s="1009">
        <v>514449</v>
      </c>
      <c r="D107" s="1010">
        <v>766479</v>
      </c>
      <c r="E107" s="1011">
        <v>70400</v>
      </c>
      <c r="F107" s="1086">
        <f>SUM(D107:E107)</f>
        <v>836879</v>
      </c>
    </row>
    <row r="108" spans="1:6" s="26" customFormat="1" ht="16.5" customHeight="1">
      <c r="A108" s="104" t="s">
        <v>19</v>
      </c>
      <c r="B108" s="151" t="s">
        <v>53</v>
      </c>
      <c r="C108" s="780">
        <v>145520</v>
      </c>
      <c r="D108" s="781">
        <v>176988</v>
      </c>
      <c r="E108" s="783">
        <v>10043</v>
      </c>
      <c r="F108" s="1089">
        <f>SUM(D108:E108)</f>
        <v>187031</v>
      </c>
    </row>
    <row r="109" spans="1:6" s="26" customFormat="1" ht="16.5" customHeight="1">
      <c r="A109" s="104" t="s">
        <v>20</v>
      </c>
      <c r="B109" s="151" t="s">
        <v>35</v>
      </c>
      <c r="C109" s="782">
        <v>947894</v>
      </c>
      <c r="D109" s="781">
        <v>997059</v>
      </c>
      <c r="E109" s="783">
        <v>62359</v>
      </c>
      <c r="F109" s="1089">
        <f>SUM(D109:E109)</f>
        <v>1059418</v>
      </c>
    </row>
    <row r="110" spans="1:6" s="26" customFormat="1" ht="16.5" customHeight="1">
      <c r="A110" s="104" t="s">
        <v>21</v>
      </c>
      <c r="B110" s="152" t="s">
        <v>54</v>
      </c>
      <c r="C110" s="782">
        <v>98250</v>
      </c>
      <c r="D110" s="783">
        <v>319750</v>
      </c>
      <c r="E110" s="783">
        <v>40211</v>
      </c>
      <c r="F110" s="1089">
        <f>SUM(D110:E110)</f>
        <v>359961</v>
      </c>
    </row>
    <row r="111" spans="1:6" s="26" customFormat="1" ht="16.5" customHeight="1">
      <c r="A111" s="104" t="s">
        <v>29</v>
      </c>
      <c r="B111" s="35" t="s">
        <v>55</v>
      </c>
      <c r="C111" s="782">
        <f>SUM(C112:C119)</f>
        <v>216800</v>
      </c>
      <c r="D111" s="784">
        <f>SUM(D112:D119)</f>
        <v>297731</v>
      </c>
      <c r="E111" s="781">
        <f>SUM(E112:E119)</f>
        <v>-6207</v>
      </c>
      <c r="F111" s="1462">
        <f>SUM(F112:F119)</f>
        <v>291524</v>
      </c>
    </row>
    <row r="112" spans="1:6" s="26" customFormat="1" ht="16.5" customHeight="1">
      <c r="A112" s="104" t="s">
        <v>410</v>
      </c>
      <c r="B112" s="153" t="s">
        <v>409</v>
      </c>
      <c r="C112" s="782"/>
      <c r="D112" s="783">
        <v>63257</v>
      </c>
      <c r="E112" s="783"/>
      <c r="F112" s="1089">
        <f>SUM(D112:E112)</f>
        <v>63257</v>
      </c>
    </row>
    <row r="113" spans="1:6" s="26" customFormat="1" ht="16.5" customHeight="1">
      <c r="A113" s="104" t="s">
        <v>411</v>
      </c>
      <c r="B113" s="154" t="s">
        <v>332</v>
      </c>
      <c r="C113" s="782"/>
      <c r="D113" s="783"/>
      <c r="E113" s="783"/>
      <c r="F113" s="885"/>
    </row>
    <row r="114" spans="1:6" s="26" customFormat="1" ht="27" customHeight="1">
      <c r="A114" s="104" t="s">
        <v>412</v>
      </c>
      <c r="B114" s="154" t="s">
        <v>333</v>
      </c>
      <c r="C114" s="782"/>
      <c r="D114" s="783"/>
      <c r="E114" s="783"/>
      <c r="F114" s="885"/>
    </row>
    <row r="115" spans="1:6" s="26" customFormat="1" ht="16.5" customHeight="1">
      <c r="A115" s="104" t="s">
        <v>413</v>
      </c>
      <c r="B115" s="155" t="s">
        <v>334</v>
      </c>
      <c r="C115" s="782">
        <v>206900</v>
      </c>
      <c r="D115" s="781">
        <v>226761</v>
      </c>
      <c r="E115" s="783">
        <v>-6259</v>
      </c>
      <c r="F115" s="1089">
        <f>SUM(D115:E115)</f>
        <v>220502</v>
      </c>
    </row>
    <row r="116" spans="1:6" s="26" customFormat="1" ht="16.5" customHeight="1">
      <c r="A116" s="104" t="s">
        <v>414</v>
      </c>
      <c r="B116" s="154" t="s">
        <v>335</v>
      </c>
      <c r="C116" s="782"/>
      <c r="D116" s="783"/>
      <c r="E116" s="783"/>
      <c r="F116" s="885"/>
    </row>
    <row r="117" spans="1:6" s="26" customFormat="1" ht="16.5" customHeight="1">
      <c r="A117" s="104" t="s">
        <v>415</v>
      </c>
      <c r="B117" s="156" t="s">
        <v>336</v>
      </c>
      <c r="C117" s="782"/>
      <c r="D117" s="783"/>
      <c r="E117" s="783"/>
      <c r="F117" s="885"/>
    </row>
    <row r="118" spans="1:6" s="26" customFormat="1" ht="16.5" customHeight="1">
      <c r="A118" s="104" t="s">
        <v>416</v>
      </c>
      <c r="B118" s="156" t="s">
        <v>337</v>
      </c>
      <c r="C118" s="782"/>
      <c r="D118" s="783"/>
      <c r="E118" s="783"/>
      <c r="F118" s="885"/>
    </row>
    <row r="119" spans="1:6" s="26" customFormat="1" ht="16.5" customHeight="1" thickBot="1">
      <c r="A119" s="105" t="s">
        <v>417</v>
      </c>
      <c r="B119" s="156" t="s">
        <v>338</v>
      </c>
      <c r="C119" s="782">
        <v>9900</v>
      </c>
      <c r="D119" s="788">
        <v>7713</v>
      </c>
      <c r="E119" s="788">
        <v>52</v>
      </c>
      <c r="F119" s="1461">
        <f>SUM(D119:E119)</f>
        <v>7765</v>
      </c>
    </row>
    <row r="120" spans="1:6" s="26" customFormat="1" ht="16.5" customHeight="1" thickBot="1">
      <c r="A120" s="101" t="s">
        <v>72</v>
      </c>
      <c r="B120" s="149" t="s">
        <v>418</v>
      </c>
      <c r="C120" s="789">
        <f>SUM(C121+C127+C128)</f>
        <v>1183871</v>
      </c>
      <c r="D120" s="790">
        <f>SUM(D121+D127+D128)</f>
        <v>1311663</v>
      </c>
      <c r="E120" s="837">
        <f>SUM(E121+E127+E128)</f>
        <v>-61981</v>
      </c>
      <c r="F120" s="1437">
        <f>SUM(F121+F127+F128)</f>
        <v>1249682</v>
      </c>
    </row>
    <row r="121" spans="1:6" s="26" customFormat="1" ht="16.5" customHeight="1">
      <c r="A121" s="110" t="s">
        <v>24</v>
      </c>
      <c r="B121" s="1480" t="s">
        <v>108</v>
      </c>
      <c r="C121" s="1481">
        <f>SUM(C122:C126)</f>
        <v>1011311</v>
      </c>
      <c r="D121" s="1481">
        <f>SUM(D122:D126)</f>
        <v>1039356</v>
      </c>
      <c r="E121" s="1481">
        <f>SUM(E122:E126)</f>
        <v>-61981</v>
      </c>
      <c r="F121" s="1482">
        <f>SUM(F122:F126)</f>
        <v>977375</v>
      </c>
    </row>
    <row r="122" spans="1:6" s="26" customFormat="1" ht="16.5" customHeight="1">
      <c r="A122" s="104" t="s">
        <v>401</v>
      </c>
      <c r="B122" s="181" t="s">
        <v>406</v>
      </c>
      <c r="C122" s="785">
        <v>476631</v>
      </c>
      <c r="D122" s="783">
        <v>439875</v>
      </c>
      <c r="E122" s="783">
        <f>-7874+6877</f>
        <v>-997</v>
      </c>
      <c r="F122" s="1563">
        <f>SUM(D122:E122)</f>
        <v>438878</v>
      </c>
    </row>
    <row r="123" spans="1:6" s="26" customFormat="1" ht="34.5" customHeight="1">
      <c r="A123" s="104" t="s">
        <v>402</v>
      </c>
      <c r="B123" s="181" t="s">
        <v>110</v>
      </c>
      <c r="C123" s="785">
        <v>391653</v>
      </c>
      <c r="D123" s="783">
        <v>392281</v>
      </c>
      <c r="E123" s="783">
        <v>-57271</v>
      </c>
      <c r="F123" s="1563">
        <f t="shared" ref="F123:F128" si="3">SUM(D123:E123)</f>
        <v>335010</v>
      </c>
    </row>
    <row r="124" spans="1:6" s="26" customFormat="1" ht="34.5" customHeight="1">
      <c r="A124" s="104" t="s">
        <v>403</v>
      </c>
      <c r="B124" s="181" t="s">
        <v>118</v>
      </c>
      <c r="C124" s="785">
        <v>94827</v>
      </c>
      <c r="D124" s="783">
        <v>145528</v>
      </c>
      <c r="E124" s="783">
        <v>-4135</v>
      </c>
      <c r="F124" s="1563">
        <f t="shared" si="3"/>
        <v>141393</v>
      </c>
    </row>
    <row r="125" spans="1:6" s="26" customFormat="1" ht="34.5" customHeight="1">
      <c r="A125" s="104" t="s">
        <v>404</v>
      </c>
      <c r="B125" s="181" t="s">
        <v>116</v>
      </c>
      <c r="C125" s="785">
        <v>34000</v>
      </c>
      <c r="D125" s="783">
        <v>46002</v>
      </c>
      <c r="E125" s="783">
        <v>450</v>
      </c>
      <c r="F125" s="1563">
        <f t="shared" si="3"/>
        <v>46452</v>
      </c>
    </row>
    <row r="126" spans="1:6" s="26" customFormat="1" ht="43.5" customHeight="1">
      <c r="A126" s="104" t="s">
        <v>405</v>
      </c>
      <c r="B126" s="181" t="s">
        <v>124</v>
      </c>
      <c r="C126" s="785">
        <v>14200</v>
      </c>
      <c r="D126" s="783">
        <v>15670</v>
      </c>
      <c r="E126" s="783">
        <v>-28</v>
      </c>
      <c r="F126" s="1466">
        <f t="shared" si="3"/>
        <v>15642</v>
      </c>
    </row>
    <row r="127" spans="1:6" s="26" customFormat="1" ht="16.5" customHeight="1">
      <c r="A127" s="104" t="s">
        <v>25</v>
      </c>
      <c r="B127" s="32" t="s">
        <v>56</v>
      </c>
      <c r="C127" s="781">
        <v>169060</v>
      </c>
      <c r="D127" s="783">
        <v>256241</v>
      </c>
      <c r="E127" s="783"/>
      <c r="F127" s="1089">
        <f t="shared" si="3"/>
        <v>256241</v>
      </c>
    </row>
    <row r="128" spans="1:6" s="26" customFormat="1" ht="16.5" customHeight="1">
      <c r="A128" s="104" t="s">
        <v>26</v>
      </c>
      <c r="B128" s="31" t="s">
        <v>109</v>
      </c>
      <c r="C128" s="785">
        <f>SUM(C129:C134)</f>
        <v>3500</v>
      </c>
      <c r="D128" s="785">
        <f>SUM(D129:D134)</f>
        <v>16066</v>
      </c>
      <c r="E128" s="785">
        <f>SUM(E129:E134)</f>
        <v>0</v>
      </c>
      <c r="F128" s="1089">
        <f t="shared" si="3"/>
        <v>16066</v>
      </c>
    </row>
    <row r="129" spans="1:6" s="26" customFormat="1" ht="16.5" customHeight="1">
      <c r="A129" s="104" t="s">
        <v>366</v>
      </c>
      <c r="B129" s="32" t="s">
        <v>339</v>
      </c>
      <c r="C129" s="786"/>
      <c r="D129" s="783"/>
      <c r="E129" s="783"/>
      <c r="F129" s="885"/>
    </row>
    <row r="130" spans="1:6" s="26" customFormat="1" ht="16.5" customHeight="1">
      <c r="A130" s="104" t="s">
        <v>367</v>
      </c>
      <c r="B130" s="32" t="s">
        <v>333</v>
      </c>
      <c r="C130" s="786"/>
      <c r="D130" s="783"/>
      <c r="E130" s="783"/>
      <c r="F130" s="885"/>
    </row>
    <row r="131" spans="1:6" s="26" customFormat="1" ht="16.5" customHeight="1">
      <c r="A131" s="104" t="s">
        <v>368</v>
      </c>
      <c r="B131" s="32" t="s">
        <v>340</v>
      </c>
      <c r="C131" s="786"/>
      <c r="D131" s="783">
        <v>6522</v>
      </c>
      <c r="E131" s="783"/>
      <c r="F131" s="1089">
        <f>SUM(D131:E131)</f>
        <v>6522</v>
      </c>
    </row>
    <row r="132" spans="1:6" s="26" customFormat="1" ht="18.75" customHeight="1">
      <c r="A132" s="104" t="s">
        <v>369</v>
      </c>
      <c r="B132" s="32" t="s">
        <v>407</v>
      </c>
      <c r="C132" s="786">
        <v>3000</v>
      </c>
      <c r="D132" s="783">
        <v>3000</v>
      </c>
      <c r="E132" s="783"/>
      <c r="F132" s="1089">
        <f>SUM(D132:E132)</f>
        <v>3000</v>
      </c>
    </row>
    <row r="133" spans="1:6" s="26" customFormat="1" ht="16.5" customHeight="1">
      <c r="A133" s="104" t="s">
        <v>419</v>
      </c>
      <c r="B133" s="151" t="s">
        <v>578</v>
      </c>
      <c r="C133" s="786"/>
      <c r="D133" s="783">
        <v>6044</v>
      </c>
      <c r="E133" s="783"/>
      <c r="F133" s="1089">
        <f>SUM(D133:E133)</f>
        <v>6044</v>
      </c>
    </row>
    <row r="134" spans="1:6" s="26" customFormat="1" ht="16.5" customHeight="1" thickBot="1">
      <c r="A134" s="209" t="s">
        <v>420</v>
      </c>
      <c r="B134" s="1483" t="s">
        <v>341</v>
      </c>
      <c r="C134" s="1484">
        <v>500</v>
      </c>
      <c r="D134" s="1441">
        <v>500</v>
      </c>
      <c r="E134" s="1441"/>
      <c r="F134" s="1446">
        <f>SUM(D134:E134)</f>
        <v>500</v>
      </c>
    </row>
    <row r="135" spans="1:6" s="26" customFormat="1" ht="16.5" customHeight="1" thickBot="1">
      <c r="A135" s="101" t="s">
        <v>73</v>
      </c>
      <c r="B135" s="62" t="s">
        <v>342</v>
      </c>
      <c r="C135" s="789">
        <f>SUM(C136+C139)</f>
        <v>313825</v>
      </c>
      <c r="D135" s="790">
        <f>SUM(D136+D139)</f>
        <v>422112</v>
      </c>
      <c r="E135" s="837">
        <f>SUM(E136+E139)</f>
        <v>-121297</v>
      </c>
      <c r="F135" s="1437">
        <f>SUM(F136+F139)</f>
        <v>300815</v>
      </c>
    </row>
    <row r="136" spans="1:6" s="26" customFormat="1" ht="16.5" customHeight="1">
      <c r="A136" s="103" t="s">
        <v>5</v>
      </c>
      <c r="B136" s="160" t="s">
        <v>421</v>
      </c>
      <c r="C136" s="1009">
        <f>SUM(C137:C138)</f>
        <v>161825</v>
      </c>
      <c r="D136" s="1009">
        <f>SUM(D137:D138)</f>
        <v>245783</v>
      </c>
      <c r="E136" s="1011">
        <f>SUM(E137:E138)</f>
        <v>-99216</v>
      </c>
      <c r="F136" s="1465">
        <f>SUM(F137:F138)</f>
        <v>146567</v>
      </c>
    </row>
    <row r="137" spans="1:6" s="26" customFormat="1" ht="16.5" customHeight="1">
      <c r="A137" s="104" t="s">
        <v>422</v>
      </c>
      <c r="B137" s="161" t="s">
        <v>424</v>
      </c>
      <c r="C137" s="641">
        <v>100000</v>
      </c>
      <c r="D137" s="791">
        <v>174078</v>
      </c>
      <c r="E137" s="791">
        <v>-98203</v>
      </c>
      <c r="F137" s="1089">
        <f>SUM(D137:E137)</f>
        <v>75875</v>
      </c>
    </row>
    <row r="138" spans="1:6" s="26" customFormat="1" ht="16.5" customHeight="1">
      <c r="A138" s="104" t="s">
        <v>423</v>
      </c>
      <c r="B138" s="161" t="s">
        <v>425</v>
      </c>
      <c r="C138" s="641">
        <v>61825</v>
      </c>
      <c r="D138" s="791">
        <v>71705</v>
      </c>
      <c r="E138" s="791">
        <v>-1013</v>
      </c>
      <c r="F138" s="1089">
        <f>SUM(D138:E138)</f>
        <v>70692</v>
      </c>
    </row>
    <row r="139" spans="1:6" s="26" customFormat="1" ht="16.5" customHeight="1">
      <c r="A139" s="104" t="s">
        <v>6</v>
      </c>
      <c r="B139" s="143" t="s">
        <v>426</v>
      </c>
      <c r="C139" s="780">
        <f>SUM(C140:C141)</f>
        <v>152000</v>
      </c>
      <c r="D139" s="1562">
        <f>SUM(D140:D141)</f>
        <v>176329</v>
      </c>
      <c r="E139" s="781">
        <f>SUM(E140:E141)</f>
        <v>-22081</v>
      </c>
      <c r="F139" s="1466">
        <f>SUM(F140:F141)</f>
        <v>154248</v>
      </c>
    </row>
    <row r="140" spans="1:6" s="26" customFormat="1" ht="16.5" customHeight="1">
      <c r="A140" s="104" t="s">
        <v>427</v>
      </c>
      <c r="B140" s="161" t="s">
        <v>424</v>
      </c>
      <c r="C140" s="641"/>
      <c r="D140" s="791"/>
      <c r="E140" s="791"/>
      <c r="F140" s="885"/>
    </row>
    <row r="141" spans="1:6" s="26" customFormat="1" ht="16.5" customHeight="1" thickBot="1">
      <c r="A141" s="111" t="s">
        <v>428</v>
      </c>
      <c r="B141" s="342" t="s">
        <v>425</v>
      </c>
      <c r="C141" s="1012">
        <v>152000</v>
      </c>
      <c r="D141" s="1013">
        <v>176329</v>
      </c>
      <c r="E141" s="1013">
        <f>-15204-6877</f>
        <v>-22081</v>
      </c>
      <c r="F141" s="1461">
        <f>SUM(D141:E141)</f>
        <v>154248</v>
      </c>
    </row>
    <row r="142" spans="1:6" s="26" customFormat="1" ht="16.5" customHeight="1" thickBot="1">
      <c r="A142" s="101" t="s">
        <v>74</v>
      </c>
      <c r="B142" s="62" t="s">
        <v>343</v>
      </c>
      <c r="C142" s="789">
        <f>+C106+C120+C135</f>
        <v>3420609</v>
      </c>
      <c r="D142" s="790">
        <f>+D106+D120+D135</f>
        <v>4291782</v>
      </c>
      <c r="E142" s="837">
        <f>+E106+E120+E135</f>
        <v>-6472</v>
      </c>
      <c r="F142" s="1437">
        <f>+F106+F120+F135</f>
        <v>4285310</v>
      </c>
    </row>
    <row r="143" spans="1:6" s="26" customFormat="1" ht="27.75" customHeight="1" thickBot="1">
      <c r="A143" s="101" t="s">
        <v>75</v>
      </c>
      <c r="B143" s="62" t="s">
        <v>344</v>
      </c>
      <c r="C143" s="789">
        <f>+C144+C145+C146</f>
        <v>0</v>
      </c>
      <c r="D143" s="790">
        <f>+D144+D145+D146</f>
        <v>0</v>
      </c>
      <c r="E143" s="837">
        <f>+E144+E145+E146</f>
        <v>0</v>
      </c>
      <c r="F143" s="1437">
        <f>+F144+F145+F146</f>
        <v>0</v>
      </c>
    </row>
    <row r="144" spans="1:6" s="6" customFormat="1" ht="16.5" customHeight="1">
      <c r="A144" s="103" t="s">
        <v>11</v>
      </c>
      <c r="B144" s="159" t="s">
        <v>345</v>
      </c>
      <c r="C144" s="1009"/>
      <c r="D144" s="1014"/>
      <c r="E144" s="1014"/>
      <c r="F144" s="216"/>
    </row>
    <row r="145" spans="1:10" s="26" customFormat="1" ht="16.5" customHeight="1">
      <c r="A145" s="103" t="s">
        <v>12</v>
      </c>
      <c r="B145" s="159" t="s">
        <v>346</v>
      </c>
      <c r="C145" s="780"/>
      <c r="D145" s="783"/>
      <c r="E145" s="783"/>
      <c r="F145" s="885"/>
    </row>
    <row r="146" spans="1:10" s="26" customFormat="1" ht="16.5" customHeight="1" thickBot="1">
      <c r="A146" s="111" t="s">
        <v>13</v>
      </c>
      <c r="B146" s="162" t="s">
        <v>347</v>
      </c>
      <c r="C146" s="782"/>
      <c r="D146" s="788"/>
      <c r="E146" s="788"/>
      <c r="F146" s="886"/>
    </row>
    <row r="147" spans="1:10" s="26" customFormat="1" ht="16.5" customHeight="1" thickBot="1">
      <c r="A147" s="101" t="s">
        <v>76</v>
      </c>
      <c r="B147" s="62" t="s">
        <v>348</v>
      </c>
      <c r="C147" s="789">
        <f>+C148+C149+C150+C151</f>
        <v>0</v>
      </c>
      <c r="D147" s="790">
        <f>+D148+D149+D150+D151</f>
        <v>1007680</v>
      </c>
      <c r="E147" s="837">
        <f>+E148+E149+E150+E151</f>
        <v>202718</v>
      </c>
      <c r="F147" s="1437">
        <f>+F148+F149+F150+F151</f>
        <v>1210398</v>
      </c>
    </row>
    <row r="148" spans="1:10" s="26" customFormat="1" ht="16.5" customHeight="1">
      <c r="A148" s="103" t="s">
        <v>14</v>
      </c>
      <c r="B148" s="159" t="s">
        <v>349</v>
      </c>
      <c r="C148" s="1015"/>
      <c r="D148" s="1011">
        <v>908981</v>
      </c>
      <c r="E148" s="1011">
        <v>202718</v>
      </c>
      <c r="F148" s="1086">
        <f>SUM(D148:E148)</f>
        <v>1111699</v>
      </c>
    </row>
    <row r="149" spans="1:10" s="26" customFormat="1" ht="16.5" customHeight="1">
      <c r="A149" s="103" t="s">
        <v>15</v>
      </c>
      <c r="B149" s="159" t="s">
        <v>350</v>
      </c>
      <c r="C149" s="640"/>
      <c r="D149" s="783"/>
      <c r="E149" s="783"/>
      <c r="F149" s="885"/>
    </row>
    <row r="150" spans="1:10" s="26" customFormat="1" ht="16.5" customHeight="1">
      <c r="A150" s="103" t="s">
        <v>279</v>
      </c>
      <c r="B150" s="159" t="s">
        <v>351</v>
      </c>
      <c r="C150" s="640"/>
      <c r="D150" s="783"/>
      <c r="E150" s="783"/>
      <c r="F150" s="885"/>
    </row>
    <row r="151" spans="1:10" s="6" customFormat="1" ht="16.5" customHeight="1" thickBot="1">
      <c r="A151" s="111" t="s">
        <v>280</v>
      </c>
      <c r="B151" s="162" t="s">
        <v>352</v>
      </c>
      <c r="C151" s="1016"/>
      <c r="D151" s="788">
        <v>98699</v>
      </c>
      <c r="E151" s="788"/>
      <c r="F151" s="1485">
        <f>SUM(D151:E151)</f>
        <v>98699</v>
      </c>
    </row>
    <row r="152" spans="1:10" s="26" customFormat="1" ht="16.5" customHeight="1" thickBot="1">
      <c r="A152" s="101" t="s">
        <v>77</v>
      </c>
      <c r="B152" s="62" t="s">
        <v>430</v>
      </c>
      <c r="C152" s="793">
        <f>SUM(C153:C157)</f>
        <v>0</v>
      </c>
      <c r="D152" s="794">
        <f>SUM(D153:D157)</f>
        <v>0</v>
      </c>
      <c r="E152" s="1017">
        <f>SUM(E153:E157)</f>
        <v>0</v>
      </c>
      <c r="F152" s="1478">
        <f>SUM(F153:F157)</f>
        <v>0</v>
      </c>
      <c r="J152" s="112"/>
    </row>
    <row r="153" spans="1:10" s="26" customFormat="1" ht="16.5" customHeight="1">
      <c r="A153" s="103" t="s">
        <v>16</v>
      </c>
      <c r="B153" s="159" t="s">
        <v>353</v>
      </c>
      <c r="C153" s="1009"/>
      <c r="D153" s="1011"/>
      <c r="E153" s="1011"/>
      <c r="F153" s="884"/>
    </row>
    <row r="154" spans="1:10" s="26" customFormat="1" ht="16.5" customHeight="1">
      <c r="A154" s="117" t="s">
        <v>17</v>
      </c>
      <c r="B154" s="151" t="s">
        <v>354</v>
      </c>
      <c r="C154" s="780"/>
      <c r="D154" s="783"/>
      <c r="E154" s="783"/>
      <c r="F154" s="885"/>
    </row>
    <row r="155" spans="1:10" s="26" customFormat="1" ht="16.5" customHeight="1">
      <c r="A155" s="117" t="s">
        <v>48</v>
      </c>
      <c r="B155" s="151" t="s">
        <v>429</v>
      </c>
      <c r="C155" s="780"/>
      <c r="D155" s="783"/>
      <c r="E155" s="783"/>
      <c r="F155" s="885"/>
    </row>
    <row r="156" spans="1:10" s="6" customFormat="1" ht="16.5" customHeight="1">
      <c r="A156" s="117" t="s">
        <v>121</v>
      </c>
      <c r="B156" s="151" t="s">
        <v>355</v>
      </c>
      <c r="C156" s="780"/>
      <c r="D156" s="792"/>
      <c r="E156" s="792"/>
      <c r="F156" s="204"/>
    </row>
    <row r="157" spans="1:10" s="6" customFormat="1" ht="16.5" customHeight="1" thickBot="1">
      <c r="A157" s="111" t="s">
        <v>122</v>
      </c>
      <c r="B157" s="162" t="s">
        <v>356</v>
      </c>
      <c r="C157" s="782"/>
      <c r="D157" s="1018"/>
      <c r="E157" s="1018"/>
      <c r="F157" s="218"/>
    </row>
    <row r="158" spans="1:10" s="6" customFormat="1" ht="16.5" customHeight="1" thickBot="1">
      <c r="A158" s="101" t="s">
        <v>78</v>
      </c>
      <c r="B158" s="62" t="s">
        <v>357</v>
      </c>
      <c r="C158" s="795">
        <f>+C159+C160+C161+C162</f>
        <v>0</v>
      </c>
      <c r="D158" s="796">
        <f>+D159+D160+D161+D162</f>
        <v>0</v>
      </c>
      <c r="E158" s="1019">
        <f>+E159+E160+E161+E162</f>
        <v>0</v>
      </c>
      <c r="F158" s="1486">
        <f>+F159+F160+F161+F162</f>
        <v>0</v>
      </c>
    </row>
    <row r="159" spans="1:10" s="6" customFormat="1" ht="16.5" customHeight="1">
      <c r="A159" s="103" t="s">
        <v>49</v>
      </c>
      <c r="B159" s="159" t="s">
        <v>358</v>
      </c>
      <c r="C159" s="1009"/>
      <c r="D159" s="1014"/>
      <c r="E159" s="1014"/>
      <c r="F159" s="216"/>
    </row>
    <row r="160" spans="1:10" s="6" customFormat="1" ht="16.5" customHeight="1">
      <c r="A160" s="103" t="s">
        <v>50</v>
      </c>
      <c r="B160" s="159" t="s">
        <v>359</v>
      </c>
      <c r="C160" s="780"/>
      <c r="D160" s="792"/>
      <c r="E160" s="792"/>
      <c r="F160" s="204"/>
    </row>
    <row r="161" spans="1:6" s="6" customFormat="1" ht="16.5" customHeight="1">
      <c r="A161" s="103" t="s">
        <v>107</v>
      </c>
      <c r="B161" s="159" t="s">
        <v>360</v>
      </c>
      <c r="C161" s="780"/>
      <c r="D161" s="792"/>
      <c r="E161" s="792"/>
      <c r="F161" s="204"/>
    </row>
    <row r="162" spans="1:6" s="26" customFormat="1" ht="16.5" customHeight="1" thickBot="1">
      <c r="A162" s="111" t="s">
        <v>119</v>
      </c>
      <c r="B162" s="162" t="s">
        <v>361</v>
      </c>
      <c r="C162" s="782"/>
      <c r="D162" s="788"/>
      <c r="E162" s="788"/>
      <c r="F162" s="886"/>
    </row>
    <row r="163" spans="1:6" s="26" customFormat="1" ht="16.5" customHeight="1" thickBot="1">
      <c r="A163" s="101" t="s">
        <v>79</v>
      </c>
      <c r="B163" s="62" t="s">
        <v>362</v>
      </c>
      <c r="C163" s="635">
        <f>+C143+C147+C152+C158</f>
        <v>0</v>
      </c>
      <c r="D163" s="797">
        <f>+D143+D147+D152+D158</f>
        <v>1007680</v>
      </c>
      <c r="E163" s="1023">
        <f>+E143+E147+E152+E158</f>
        <v>202718</v>
      </c>
      <c r="F163" s="1444">
        <f>+F143+F147+F152+F158</f>
        <v>1210398</v>
      </c>
    </row>
    <row r="164" spans="1:6" s="26" customFormat="1" ht="23.25" customHeight="1" thickBot="1">
      <c r="A164" s="113" t="s">
        <v>80</v>
      </c>
      <c r="B164" s="163" t="s">
        <v>363</v>
      </c>
      <c r="C164" s="1020">
        <f>+C142+C163</f>
        <v>3420609</v>
      </c>
      <c r="D164" s="1021">
        <f>+D142+D163</f>
        <v>5299462</v>
      </c>
      <c r="E164" s="1022">
        <f>+E142+E163</f>
        <v>196246</v>
      </c>
      <c r="F164" s="1487">
        <f>+F142+F163</f>
        <v>5495708</v>
      </c>
    </row>
    <row r="165" spans="1:6" s="26" customFormat="1" ht="16.5" customHeight="1">
      <c r="A165" s="59"/>
      <c r="B165" s="56"/>
      <c r="C165" s="114"/>
    </row>
    <row r="166" spans="1:6" ht="15.75">
      <c r="A166" s="1603" t="s">
        <v>440</v>
      </c>
      <c r="B166" s="1603"/>
      <c r="C166" s="1603"/>
      <c r="D166" s="1603"/>
      <c r="E166" s="1603"/>
      <c r="F166" s="1603"/>
    </row>
    <row r="167" spans="1:6" ht="15.75" thickBot="1">
      <c r="A167" s="1612"/>
      <c r="B167" s="1612"/>
      <c r="F167" s="129" t="s">
        <v>106</v>
      </c>
    </row>
    <row r="168" spans="1:6" ht="29.25" thickBot="1">
      <c r="A168" s="126">
        <v>1</v>
      </c>
      <c r="B168" s="34" t="s">
        <v>441</v>
      </c>
      <c r="C168" s="353">
        <f>+C75-C142</f>
        <v>-406823</v>
      </c>
      <c r="D168" s="353">
        <f>+D75-D142</f>
        <v>-709608</v>
      </c>
      <c r="E168" s="353">
        <f>+E75-E142</f>
        <v>-3859</v>
      </c>
      <c r="F168" s="1445">
        <f>+F75-F142</f>
        <v>-713467</v>
      </c>
    </row>
    <row r="169" spans="1:6" ht="15">
      <c r="A169" s="127"/>
      <c r="B169" s="127"/>
      <c r="C169" s="128"/>
    </row>
    <row r="170" spans="1:6" ht="15.75">
      <c r="A170" s="1613"/>
      <c r="B170" s="1613"/>
      <c r="C170" s="1613"/>
    </row>
    <row r="171" spans="1:6" ht="13.5">
      <c r="A171" s="1604"/>
      <c r="B171" s="1604"/>
      <c r="C171" s="129"/>
    </row>
    <row r="172" spans="1:6">
      <c r="A172" s="130"/>
      <c r="B172" s="131"/>
      <c r="C172" s="132"/>
    </row>
    <row r="173" spans="1:6">
      <c r="A173" s="130"/>
      <c r="B173" s="131"/>
      <c r="C173" s="132"/>
    </row>
    <row r="174" spans="1:6">
      <c r="A174" s="133"/>
      <c r="B174" s="134"/>
      <c r="C174" s="135"/>
    </row>
  </sheetData>
  <mergeCells count="10">
    <mergeCell ref="C3:F3"/>
    <mergeCell ref="A166:F166"/>
    <mergeCell ref="A167:B167"/>
    <mergeCell ref="A170:C170"/>
    <mergeCell ref="A171:B171"/>
    <mergeCell ref="A1:E1"/>
    <mergeCell ref="A2:D2"/>
    <mergeCell ref="A3:A4"/>
    <mergeCell ref="B3:B4"/>
    <mergeCell ref="A103:E10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63" orientation="portrait" horizontalDpi="300" verticalDpi="300" r:id="rId1"/>
  <headerFooter>
    <oddHeader>&amp;R&amp;"Times New Roman CE,Dőlt"&amp;12 1.2. melléklet a .../2014. (...) önkormányzati rendelethez</oddHeader>
  </headerFooter>
  <rowBreaks count="2" manualBreakCount="2">
    <brk id="57" max="5" man="1"/>
    <brk id="11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74"/>
  <sheetViews>
    <sheetView topLeftCell="A157" zoomScaleNormal="100" workbookViewId="0">
      <selection activeCell="B107" sqref="B107"/>
    </sheetView>
  </sheetViews>
  <sheetFormatPr defaultRowHeight="12.75"/>
  <cols>
    <col min="1" max="1" width="11" style="98" customWidth="1"/>
    <col min="2" max="2" width="78.33203125" style="99" customWidth="1"/>
    <col min="3" max="3" width="14.6640625" style="100" customWidth="1"/>
    <col min="4" max="4" width="14.6640625" style="2" customWidth="1"/>
    <col min="5" max="5" width="13.5" style="2" customWidth="1"/>
    <col min="6" max="6" width="13.83203125" style="2" customWidth="1"/>
    <col min="7" max="16384" width="9.33203125" style="2"/>
  </cols>
  <sheetData>
    <row r="1" spans="1:6" s="1" customFormat="1" ht="50.25" customHeight="1">
      <c r="A1" s="1596" t="s">
        <v>475</v>
      </c>
      <c r="B1" s="1596"/>
      <c r="C1" s="1596"/>
      <c r="D1" s="1596"/>
      <c r="E1" s="1596"/>
    </row>
    <row r="2" spans="1:6" s="5" customFormat="1" ht="21.75" customHeight="1" thickBot="1">
      <c r="A2" s="1614" t="s">
        <v>439</v>
      </c>
      <c r="B2" s="1614"/>
      <c r="C2" s="1615"/>
      <c r="D2" s="1615"/>
      <c r="F2" s="116" t="s">
        <v>106</v>
      </c>
    </row>
    <row r="3" spans="1:6" s="5" customFormat="1" ht="21.75" customHeight="1" thickBot="1">
      <c r="A3" s="1622" t="s">
        <v>59</v>
      </c>
      <c r="B3" s="1622" t="s">
        <v>0</v>
      </c>
      <c r="C3" s="1609" t="s">
        <v>245</v>
      </c>
      <c r="D3" s="1610"/>
      <c r="E3" s="1610"/>
      <c r="F3" s="1611"/>
    </row>
    <row r="4" spans="1:6" ht="31.5" customHeight="1" thickBot="1">
      <c r="A4" s="1623"/>
      <c r="B4" s="1623"/>
      <c r="C4" s="202" t="s">
        <v>104</v>
      </c>
      <c r="D4" s="203" t="s">
        <v>471</v>
      </c>
      <c r="E4" s="203" t="s">
        <v>618</v>
      </c>
      <c r="F4" s="203" t="s">
        <v>558</v>
      </c>
    </row>
    <row r="5" spans="1:6" s="3" customFormat="1" ht="12.95" customHeight="1" thickBot="1">
      <c r="A5" s="118">
        <v>1</v>
      </c>
      <c r="B5" s="9">
        <v>2</v>
      </c>
      <c r="C5" s="355">
        <v>3</v>
      </c>
      <c r="D5" s="356">
        <v>4</v>
      </c>
      <c r="E5" s="348">
        <v>5</v>
      </c>
      <c r="F5" s="941">
        <v>6</v>
      </c>
    </row>
    <row r="6" spans="1:6" s="102" customFormat="1" ht="16.5" customHeight="1" thickBot="1">
      <c r="A6" s="101" t="s">
        <v>71</v>
      </c>
      <c r="B6" s="60" t="s">
        <v>253</v>
      </c>
      <c r="C6" s="639">
        <f>+C7+C8+C9+C10+C11+C12</f>
        <v>14940</v>
      </c>
      <c r="D6" s="798">
        <f>+D7+D8+D9+D10+D11+D12</f>
        <v>14150</v>
      </c>
      <c r="E6" s="482">
        <f>+E7+E8+E9+E10+E11+E12</f>
        <v>-4323</v>
      </c>
      <c r="F6" s="482">
        <f>+F7+F8+F9+F10+F11+F12</f>
        <v>9827</v>
      </c>
    </row>
    <row r="7" spans="1:6" s="6" customFormat="1" ht="16.5" customHeight="1">
      <c r="A7" s="103" t="s">
        <v>18</v>
      </c>
      <c r="B7" s="136" t="s">
        <v>254</v>
      </c>
      <c r="C7" s="799"/>
      <c r="D7" s="800"/>
      <c r="E7" s="842"/>
      <c r="F7" s="1412"/>
    </row>
    <row r="8" spans="1:6" s="7" customFormat="1" ht="16.5" customHeight="1">
      <c r="A8" s="104" t="s">
        <v>19</v>
      </c>
      <c r="B8" s="137" t="s">
        <v>255</v>
      </c>
      <c r="C8" s="801"/>
      <c r="D8" s="802"/>
      <c r="E8" s="843"/>
      <c r="F8" s="207"/>
    </row>
    <row r="9" spans="1:6" s="7" customFormat="1" ht="16.5" customHeight="1">
      <c r="A9" s="104" t="s">
        <v>20</v>
      </c>
      <c r="B9" s="137" t="s">
        <v>100</v>
      </c>
      <c r="C9" s="801">
        <v>14940</v>
      </c>
      <c r="D9" s="802">
        <v>10303</v>
      </c>
      <c r="E9" s="843">
        <v>-5667</v>
      </c>
      <c r="F9" s="1080">
        <f>SUM(D9:E9)</f>
        <v>4636</v>
      </c>
    </row>
    <row r="10" spans="1:6" s="7" customFormat="1" ht="16.5" customHeight="1">
      <c r="A10" s="104" t="s">
        <v>21</v>
      </c>
      <c r="B10" s="137" t="s">
        <v>101</v>
      </c>
      <c r="C10" s="801"/>
      <c r="D10" s="802"/>
      <c r="E10" s="843"/>
      <c r="F10" s="207"/>
    </row>
    <row r="11" spans="1:6" s="7" customFormat="1" ht="16.5" customHeight="1">
      <c r="A11" s="104" t="s">
        <v>36</v>
      </c>
      <c r="B11" s="137" t="s">
        <v>256</v>
      </c>
      <c r="C11" s="801"/>
      <c r="D11" s="802"/>
      <c r="E11" s="843"/>
      <c r="F11" s="207"/>
    </row>
    <row r="12" spans="1:6" s="6" customFormat="1" ht="16.5" customHeight="1" thickBot="1">
      <c r="A12" s="105" t="s">
        <v>22</v>
      </c>
      <c r="B12" s="138" t="s">
        <v>257</v>
      </c>
      <c r="C12" s="803"/>
      <c r="D12" s="804">
        <v>3847</v>
      </c>
      <c r="E12" s="844">
        <v>1344</v>
      </c>
      <c r="F12" s="1446">
        <f>SUM(D12:E12)</f>
        <v>5191</v>
      </c>
    </row>
    <row r="13" spans="1:6" s="6" customFormat="1" ht="16.5" customHeight="1" thickBot="1">
      <c r="A13" s="101" t="s">
        <v>72</v>
      </c>
      <c r="B13" s="139" t="s">
        <v>258</v>
      </c>
      <c r="C13" s="639">
        <f>+C14+C15+C16+C17+C18</f>
        <v>171641</v>
      </c>
      <c r="D13" s="569">
        <f>+D14+D15+D16+D17+D18</f>
        <v>175939</v>
      </c>
      <c r="E13" s="845">
        <f>+E14+E15+E16+E17+E18</f>
        <v>0</v>
      </c>
      <c r="F13" s="482">
        <f>+F14+F15+F16+F17+F18</f>
        <v>175939</v>
      </c>
    </row>
    <row r="14" spans="1:6" s="6" customFormat="1" ht="16.5" customHeight="1">
      <c r="A14" s="110" t="s">
        <v>24</v>
      </c>
      <c r="B14" s="208" t="s">
        <v>210</v>
      </c>
      <c r="C14" s="805"/>
      <c r="D14" s="806"/>
      <c r="E14" s="846"/>
      <c r="F14" s="873"/>
    </row>
    <row r="15" spans="1:6" s="6" customFormat="1" ht="16.5" customHeight="1">
      <c r="A15" s="104" t="s">
        <v>25</v>
      </c>
      <c r="B15" s="137" t="s">
        <v>259</v>
      </c>
      <c r="C15" s="801"/>
      <c r="D15" s="807"/>
      <c r="E15" s="847"/>
      <c r="F15" s="204"/>
    </row>
    <row r="16" spans="1:6" s="6" customFormat="1" ht="16.5" customHeight="1">
      <c r="A16" s="104" t="s">
        <v>26</v>
      </c>
      <c r="B16" s="137" t="s">
        <v>260</v>
      </c>
      <c r="C16" s="801"/>
      <c r="D16" s="807"/>
      <c r="E16" s="847"/>
      <c r="F16" s="204"/>
    </row>
    <row r="17" spans="1:8" s="6" customFormat="1" ht="16.5" customHeight="1">
      <c r="A17" s="104" t="s">
        <v>27</v>
      </c>
      <c r="B17" s="137" t="s">
        <v>261</v>
      </c>
      <c r="C17" s="801"/>
      <c r="D17" s="807"/>
      <c r="E17" s="847"/>
      <c r="F17" s="204"/>
      <c r="H17" s="6" t="s">
        <v>616</v>
      </c>
    </row>
    <row r="18" spans="1:8" s="6" customFormat="1" ht="16.5" customHeight="1">
      <c r="A18" s="104" t="s">
        <v>28</v>
      </c>
      <c r="B18" s="137" t="s">
        <v>262</v>
      </c>
      <c r="C18" s="801">
        <f>SUM(C19:C23)</f>
        <v>171641</v>
      </c>
      <c r="D18" s="808">
        <f>SUM(D19:D23)</f>
        <v>175939</v>
      </c>
      <c r="E18" s="808">
        <f>SUM(E19:E23)</f>
        <v>0</v>
      </c>
      <c r="F18" s="1447">
        <f>SUM(F19:F23)</f>
        <v>175939</v>
      </c>
    </row>
    <row r="19" spans="1:8" s="7" customFormat="1" ht="16.5" customHeight="1">
      <c r="A19" s="104" t="s">
        <v>371</v>
      </c>
      <c r="B19" s="140" t="s">
        <v>370</v>
      </c>
      <c r="C19" s="801">
        <v>2590</v>
      </c>
      <c r="D19" s="802">
        <v>2690</v>
      </c>
      <c r="E19" s="849"/>
      <c r="F19" s="1080">
        <f>SUM(D19:E19)</f>
        <v>2690</v>
      </c>
    </row>
    <row r="20" spans="1:8" s="7" customFormat="1" ht="16.5" customHeight="1">
      <c r="A20" s="104" t="s">
        <v>372</v>
      </c>
      <c r="B20" s="140" t="s">
        <v>233</v>
      </c>
      <c r="C20" s="801"/>
      <c r="D20" s="802">
        <v>1145</v>
      </c>
      <c r="E20" s="849"/>
      <c r="F20" s="1080">
        <f>SUM(D20:E20)</f>
        <v>1145</v>
      </c>
    </row>
    <row r="21" spans="1:8" s="7" customFormat="1" ht="16.5" customHeight="1">
      <c r="A21" s="104" t="s">
        <v>373</v>
      </c>
      <c r="B21" s="140" t="s">
        <v>234</v>
      </c>
      <c r="C21" s="801">
        <v>165451</v>
      </c>
      <c r="D21" s="802">
        <v>165451</v>
      </c>
      <c r="E21" s="849"/>
      <c r="F21" s="1080">
        <f>SUM(D21:E21)</f>
        <v>165451</v>
      </c>
    </row>
    <row r="22" spans="1:8" s="7" customFormat="1" ht="16.5" customHeight="1">
      <c r="A22" s="104" t="s">
        <v>374</v>
      </c>
      <c r="B22" s="140" t="s">
        <v>235</v>
      </c>
      <c r="C22" s="801">
        <v>3600</v>
      </c>
      <c r="D22" s="802">
        <v>3600</v>
      </c>
      <c r="E22" s="843"/>
      <c r="F22" s="1080">
        <f>SUM(D22:E22)</f>
        <v>3600</v>
      </c>
    </row>
    <row r="23" spans="1:8" s="7" customFormat="1" ht="16.5" customHeight="1" thickBot="1">
      <c r="A23" s="209" t="s">
        <v>375</v>
      </c>
      <c r="B23" s="210" t="s">
        <v>365</v>
      </c>
      <c r="C23" s="809"/>
      <c r="D23" s="810">
        <v>3053</v>
      </c>
      <c r="E23" s="844"/>
      <c r="F23" s="1343">
        <f>SUM(D23:E23)</f>
        <v>3053</v>
      </c>
    </row>
    <row r="24" spans="1:8" s="7" customFormat="1" ht="27.75" customHeight="1" thickBot="1">
      <c r="A24" s="101" t="s">
        <v>73</v>
      </c>
      <c r="B24" s="60" t="s">
        <v>263</v>
      </c>
      <c r="C24" s="612">
        <f>+C25+C26+C27+C28+C29</f>
        <v>0</v>
      </c>
      <c r="D24" s="569">
        <f>+D25+D26+D27+D28+D29</f>
        <v>176</v>
      </c>
      <c r="E24" s="455">
        <f>+E25+E26+E27+E28+E29</f>
        <v>0</v>
      </c>
      <c r="F24" s="482">
        <f>+F25+F26+F27+F28+F29</f>
        <v>176</v>
      </c>
    </row>
    <row r="25" spans="1:8" s="7" customFormat="1" ht="16.5" customHeight="1">
      <c r="A25" s="110" t="s">
        <v>5</v>
      </c>
      <c r="B25" s="208" t="s">
        <v>264</v>
      </c>
      <c r="C25" s="805"/>
      <c r="D25" s="1448"/>
      <c r="E25" s="850"/>
      <c r="F25" s="877"/>
    </row>
    <row r="26" spans="1:8" s="6" customFormat="1" ht="16.5" customHeight="1">
      <c r="A26" s="104" t="s">
        <v>6</v>
      </c>
      <c r="B26" s="137" t="s">
        <v>265</v>
      </c>
      <c r="C26" s="801"/>
      <c r="D26" s="807"/>
      <c r="E26" s="847"/>
      <c r="F26" s="204"/>
    </row>
    <row r="27" spans="1:8" s="7" customFormat="1" ht="16.5" customHeight="1">
      <c r="A27" s="104" t="s">
        <v>7</v>
      </c>
      <c r="B27" s="137" t="s">
        <v>266</v>
      </c>
      <c r="C27" s="801"/>
      <c r="D27" s="802"/>
      <c r="E27" s="849"/>
      <c r="F27" s="207"/>
    </row>
    <row r="28" spans="1:8" s="7" customFormat="1" ht="16.5" customHeight="1">
      <c r="A28" s="104" t="s">
        <v>8</v>
      </c>
      <c r="B28" s="137" t="s">
        <v>267</v>
      </c>
      <c r="C28" s="801"/>
      <c r="D28" s="802"/>
      <c r="E28" s="849"/>
      <c r="F28" s="207"/>
    </row>
    <row r="29" spans="1:8" s="7" customFormat="1" ht="16.5" customHeight="1">
      <c r="A29" s="104" t="s">
        <v>39</v>
      </c>
      <c r="B29" s="137" t="s">
        <v>268</v>
      </c>
      <c r="C29" s="801">
        <f>SUM(C30:C34)</f>
        <v>0</v>
      </c>
      <c r="D29" s="808">
        <f>SUM(D30:D34)</f>
        <v>176</v>
      </c>
      <c r="E29" s="808">
        <f>SUM(E30:E34)</f>
        <v>0</v>
      </c>
      <c r="F29" s="1447">
        <f>SUM(F30:F34)</f>
        <v>176</v>
      </c>
    </row>
    <row r="30" spans="1:8" s="7" customFormat="1" ht="16.5" customHeight="1">
      <c r="A30" s="104" t="s">
        <v>376</v>
      </c>
      <c r="B30" s="140" t="s">
        <v>370</v>
      </c>
      <c r="C30" s="801"/>
      <c r="D30" s="802"/>
      <c r="E30" s="849"/>
      <c r="F30" s="207"/>
    </row>
    <row r="31" spans="1:8" s="7" customFormat="1" ht="16.5" customHeight="1">
      <c r="A31" s="104" t="s">
        <v>377</v>
      </c>
      <c r="B31" s="140" t="s">
        <v>233</v>
      </c>
      <c r="C31" s="801"/>
      <c r="D31" s="802"/>
      <c r="E31" s="849"/>
      <c r="F31" s="207"/>
    </row>
    <row r="32" spans="1:8" s="7" customFormat="1" ht="16.5" customHeight="1">
      <c r="A32" s="104" t="s">
        <v>378</v>
      </c>
      <c r="B32" s="140" t="s">
        <v>234</v>
      </c>
      <c r="C32" s="801"/>
      <c r="D32" s="802"/>
      <c r="E32" s="843"/>
      <c r="F32" s="207"/>
    </row>
    <row r="33" spans="1:6" s="7" customFormat="1" ht="16.5" customHeight="1">
      <c r="A33" s="104" t="s">
        <v>379</v>
      </c>
      <c r="B33" s="140" t="s">
        <v>235</v>
      </c>
      <c r="C33" s="801"/>
      <c r="D33" s="802"/>
      <c r="E33" s="843"/>
      <c r="F33" s="207"/>
    </row>
    <row r="34" spans="1:6" s="7" customFormat="1" ht="16.5" customHeight="1" thickBot="1">
      <c r="A34" s="209" t="s">
        <v>380</v>
      </c>
      <c r="B34" s="210" t="s">
        <v>365</v>
      </c>
      <c r="C34" s="809"/>
      <c r="D34" s="810">
        <v>176</v>
      </c>
      <c r="E34" s="810"/>
      <c r="F34" s="1449">
        <v>176</v>
      </c>
    </row>
    <row r="35" spans="1:6" s="7" customFormat="1" ht="16.5" customHeight="1" thickBot="1">
      <c r="A35" s="101" t="s">
        <v>40</v>
      </c>
      <c r="B35" s="60" t="s">
        <v>269</v>
      </c>
      <c r="C35" s="622">
        <f>+C36+C41+C42+C43</f>
        <v>0</v>
      </c>
      <c r="D35" s="595">
        <f>+D36+D41+D42+D43</f>
        <v>0</v>
      </c>
      <c r="E35" s="595">
        <f>+E36+E41+E42+E43</f>
        <v>0</v>
      </c>
      <c r="F35" s="1460">
        <f>+F36+F41+F42+F43</f>
        <v>0</v>
      </c>
    </row>
    <row r="36" spans="1:6" s="7" customFormat="1" ht="16.5" customHeight="1">
      <c r="A36" s="103" t="s">
        <v>9</v>
      </c>
      <c r="B36" s="136" t="s">
        <v>270</v>
      </c>
      <c r="C36" s="813"/>
      <c r="D36" s="597"/>
      <c r="E36" s="879"/>
      <c r="F36" s="880"/>
    </row>
    <row r="37" spans="1:6" s="7" customFormat="1" ht="16.5" customHeight="1">
      <c r="A37" s="104" t="s">
        <v>271</v>
      </c>
      <c r="B37" s="142" t="s">
        <v>381</v>
      </c>
      <c r="C37" s="814"/>
      <c r="D37" s="802"/>
      <c r="E37" s="852"/>
      <c r="F37" s="207"/>
    </row>
    <row r="38" spans="1:6" s="7" customFormat="1" ht="16.5" customHeight="1">
      <c r="A38" s="104" t="s">
        <v>272</v>
      </c>
      <c r="B38" s="142" t="s">
        <v>382</v>
      </c>
      <c r="C38" s="814"/>
      <c r="D38" s="802"/>
      <c r="E38" s="852"/>
      <c r="F38" s="207"/>
    </row>
    <row r="39" spans="1:6" s="7" customFormat="1" ht="16.5" customHeight="1">
      <c r="A39" s="104" t="s">
        <v>383</v>
      </c>
      <c r="B39" s="142" t="s">
        <v>384</v>
      </c>
      <c r="C39" s="814"/>
      <c r="D39" s="802"/>
      <c r="E39" s="852"/>
      <c r="F39" s="207"/>
    </row>
    <row r="40" spans="1:6" s="7" customFormat="1" ht="16.5" customHeight="1">
      <c r="A40" s="104" t="s">
        <v>587</v>
      </c>
      <c r="B40" s="142" t="s">
        <v>591</v>
      </c>
      <c r="C40" s="814"/>
      <c r="D40" s="802"/>
      <c r="E40" s="852"/>
      <c r="F40" s="207"/>
    </row>
    <row r="41" spans="1:6" s="7" customFormat="1" ht="16.5" customHeight="1">
      <c r="A41" s="104" t="s">
        <v>10</v>
      </c>
      <c r="B41" s="137" t="s">
        <v>273</v>
      </c>
      <c r="C41" s="801"/>
      <c r="D41" s="802"/>
      <c r="E41" s="852"/>
      <c r="F41" s="207"/>
    </row>
    <row r="42" spans="1:6" s="7" customFormat="1" ht="16.5" customHeight="1">
      <c r="A42" s="104" t="s">
        <v>215</v>
      </c>
      <c r="B42" s="137" t="s">
        <v>385</v>
      </c>
      <c r="C42" s="801"/>
      <c r="D42" s="802"/>
      <c r="E42" s="852"/>
      <c r="F42" s="207"/>
    </row>
    <row r="43" spans="1:6" s="7" customFormat="1" ht="16.5" customHeight="1" thickBot="1">
      <c r="A43" s="105" t="s">
        <v>238</v>
      </c>
      <c r="B43" s="138" t="s">
        <v>386</v>
      </c>
      <c r="C43" s="803"/>
      <c r="D43" s="812"/>
      <c r="E43" s="853"/>
      <c r="F43" s="220"/>
    </row>
    <row r="44" spans="1:6" s="7" customFormat="1" ht="16.5" customHeight="1" thickBot="1">
      <c r="A44" s="101" t="s">
        <v>75</v>
      </c>
      <c r="B44" s="60" t="s">
        <v>274</v>
      </c>
      <c r="C44" s="612">
        <f>C45+C46+C50+C51+C52+C53+C54+C55+C56+C57</f>
        <v>68428</v>
      </c>
      <c r="D44" s="569">
        <f>D45+D46+D50+D51+D52+D53+D54+D55+D56+D57</f>
        <v>70001</v>
      </c>
      <c r="E44" s="569">
        <f>E45+E46+E50+E51+E52+E53+E54+E55+E56+E57</f>
        <v>14830</v>
      </c>
      <c r="F44" s="570">
        <f>F45+F46+F50+F51+F52+F53+F54+F55+F56+F57</f>
        <v>84831</v>
      </c>
    </row>
    <row r="45" spans="1:6" s="7" customFormat="1" ht="16.5" customHeight="1">
      <c r="A45" s="103" t="s">
        <v>11</v>
      </c>
      <c r="B45" s="136" t="s">
        <v>199</v>
      </c>
      <c r="C45" s="799"/>
      <c r="D45" s="811"/>
      <c r="E45" s="1025"/>
      <c r="F45" s="1026"/>
    </row>
    <row r="46" spans="1:6" s="7" customFormat="1" ht="16.5" customHeight="1">
      <c r="A46" s="104" t="s">
        <v>12</v>
      </c>
      <c r="B46" s="137" t="s">
        <v>200</v>
      </c>
      <c r="C46" s="801">
        <f>SUM(C47:C49)</f>
        <v>14282</v>
      </c>
      <c r="D46" s="808">
        <f>SUM(D47:D49)</f>
        <v>15358</v>
      </c>
      <c r="E46" s="808">
        <f>SUM(E47:E49)</f>
        <v>0</v>
      </c>
      <c r="F46" s="1447">
        <f>SUM(F47:F49)</f>
        <v>15358</v>
      </c>
    </row>
    <row r="47" spans="1:6" s="7" customFormat="1" ht="16.5" customHeight="1">
      <c r="A47" s="104" t="s">
        <v>387</v>
      </c>
      <c r="B47" s="143" t="s">
        <v>249</v>
      </c>
      <c r="C47" s="815"/>
      <c r="D47" s="816"/>
      <c r="E47" s="855"/>
      <c r="F47" s="213"/>
    </row>
    <row r="48" spans="1:6" s="7" customFormat="1" ht="16.5" customHeight="1">
      <c r="A48" s="104" t="s">
        <v>388</v>
      </c>
      <c r="B48" s="143" t="s">
        <v>250</v>
      </c>
      <c r="C48" s="815">
        <v>7609</v>
      </c>
      <c r="D48" s="816">
        <v>7609</v>
      </c>
      <c r="E48" s="854"/>
      <c r="F48" s="1080">
        <f>SUM(D48:E48)</f>
        <v>7609</v>
      </c>
    </row>
    <row r="49" spans="1:6" s="7" customFormat="1" ht="16.5" customHeight="1">
      <c r="A49" s="104" t="s">
        <v>389</v>
      </c>
      <c r="B49" s="143" t="s">
        <v>251</v>
      </c>
      <c r="C49" s="815">
        <v>6673</v>
      </c>
      <c r="D49" s="816">
        <v>7749</v>
      </c>
      <c r="E49" s="843"/>
      <c r="F49" s="1080">
        <f t="shared" ref="F49:F57" si="0">SUM(D49:E49)</f>
        <v>7749</v>
      </c>
    </row>
    <row r="50" spans="1:6" s="7" customFormat="1" ht="16.5" customHeight="1">
      <c r="A50" s="104" t="s">
        <v>13</v>
      </c>
      <c r="B50" s="137" t="s">
        <v>201</v>
      </c>
      <c r="C50" s="817">
        <v>8682</v>
      </c>
      <c r="D50" s="816">
        <v>8682</v>
      </c>
      <c r="E50" s="843"/>
      <c r="F50" s="1080">
        <f t="shared" si="0"/>
        <v>8682</v>
      </c>
    </row>
    <row r="51" spans="1:6" s="7" customFormat="1" ht="16.5" customHeight="1">
      <c r="A51" s="104" t="s">
        <v>42</v>
      </c>
      <c r="B51" s="137" t="s">
        <v>202</v>
      </c>
      <c r="C51" s="817"/>
      <c r="D51" s="816"/>
      <c r="E51" s="843"/>
      <c r="F51" s="1080">
        <f t="shared" si="0"/>
        <v>0</v>
      </c>
    </row>
    <row r="52" spans="1:6" s="7" customFormat="1" ht="16.5" customHeight="1">
      <c r="A52" s="104" t="s">
        <v>43</v>
      </c>
      <c r="B52" s="137" t="s">
        <v>203</v>
      </c>
      <c r="C52" s="817"/>
      <c r="D52" s="816"/>
      <c r="E52" s="843"/>
      <c r="F52" s="1080">
        <f t="shared" si="0"/>
        <v>0</v>
      </c>
    </row>
    <row r="53" spans="1:6" s="7" customFormat="1" ht="16.5" customHeight="1">
      <c r="A53" s="104" t="s">
        <v>44</v>
      </c>
      <c r="B53" s="137" t="s">
        <v>275</v>
      </c>
      <c r="C53" s="817">
        <v>6844</v>
      </c>
      <c r="D53" s="816">
        <v>6950</v>
      </c>
      <c r="E53" s="843"/>
      <c r="F53" s="1080">
        <f t="shared" si="0"/>
        <v>6950</v>
      </c>
    </row>
    <row r="54" spans="1:6" s="7" customFormat="1" ht="16.5" customHeight="1">
      <c r="A54" s="104" t="s">
        <v>45</v>
      </c>
      <c r="B54" s="137" t="s">
        <v>276</v>
      </c>
      <c r="C54" s="817">
        <v>13940</v>
      </c>
      <c r="D54" s="816">
        <v>13940</v>
      </c>
      <c r="E54" s="843">
        <v>14830</v>
      </c>
      <c r="F54" s="1080">
        <f t="shared" si="0"/>
        <v>28770</v>
      </c>
    </row>
    <row r="55" spans="1:6" s="7" customFormat="1" ht="16.5" customHeight="1">
      <c r="A55" s="104" t="s">
        <v>46</v>
      </c>
      <c r="B55" s="137" t="s">
        <v>206</v>
      </c>
      <c r="C55" s="817">
        <v>20</v>
      </c>
      <c r="D55" s="816">
        <v>20</v>
      </c>
      <c r="E55" s="843"/>
      <c r="F55" s="1080">
        <f t="shared" si="0"/>
        <v>20</v>
      </c>
    </row>
    <row r="56" spans="1:6" s="7" customFormat="1" ht="16.5" customHeight="1">
      <c r="A56" s="104" t="s">
        <v>99</v>
      </c>
      <c r="B56" s="137" t="s">
        <v>207</v>
      </c>
      <c r="C56" s="817"/>
      <c r="D56" s="816"/>
      <c r="E56" s="843"/>
      <c r="F56" s="1080">
        <f t="shared" si="0"/>
        <v>0</v>
      </c>
    </row>
    <row r="57" spans="1:6" s="7" customFormat="1" ht="16.5" customHeight="1" thickBot="1">
      <c r="A57" s="209" t="s">
        <v>277</v>
      </c>
      <c r="B57" s="214" t="s">
        <v>208</v>
      </c>
      <c r="C57" s="1450">
        <v>24660</v>
      </c>
      <c r="D57" s="1451">
        <v>25051</v>
      </c>
      <c r="E57" s="844"/>
      <c r="F57" s="1343">
        <f t="shared" si="0"/>
        <v>25051</v>
      </c>
    </row>
    <row r="58" spans="1:6" s="7" customFormat="1" ht="16.5" customHeight="1" thickBot="1">
      <c r="A58" s="101" t="s">
        <v>76</v>
      </c>
      <c r="B58" s="60" t="s">
        <v>278</v>
      </c>
      <c r="C58" s="639">
        <f>SUM(C59:C62)</f>
        <v>0</v>
      </c>
      <c r="D58" s="590">
        <f>SUM(D59:D62)</f>
        <v>16544</v>
      </c>
      <c r="E58" s="590">
        <f>SUM(E59:E62)</f>
        <v>-14830</v>
      </c>
      <c r="F58" s="1452">
        <f>SUM(F59:F62)</f>
        <v>1714</v>
      </c>
    </row>
    <row r="59" spans="1:6" s="7" customFormat="1" ht="16.5" customHeight="1">
      <c r="A59" s="103" t="s">
        <v>14</v>
      </c>
      <c r="B59" s="136" t="s">
        <v>217</v>
      </c>
      <c r="C59" s="819"/>
      <c r="D59" s="811"/>
      <c r="E59" s="842"/>
      <c r="F59" s="877"/>
    </row>
    <row r="60" spans="1:6" s="7" customFormat="1" ht="16.5" customHeight="1">
      <c r="A60" s="104" t="s">
        <v>15</v>
      </c>
      <c r="B60" s="137" t="s">
        <v>218</v>
      </c>
      <c r="C60" s="817"/>
      <c r="D60" s="802"/>
      <c r="E60" s="1024"/>
      <c r="F60" s="213"/>
    </row>
    <row r="61" spans="1:6" s="7" customFormat="1" ht="16.5" customHeight="1">
      <c r="A61" s="104" t="s">
        <v>279</v>
      </c>
      <c r="B61" s="137" t="s">
        <v>219</v>
      </c>
      <c r="C61" s="817"/>
      <c r="D61" s="802"/>
      <c r="E61" s="855"/>
      <c r="F61" s="213"/>
    </row>
    <row r="62" spans="1:6" s="7" customFormat="1" ht="16.5" customHeight="1">
      <c r="A62" s="104" t="s">
        <v>280</v>
      </c>
      <c r="B62" s="144" t="s">
        <v>120</v>
      </c>
      <c r="C62" s="1557">
        <f>SUM(C63:C66)</f>
        <v>0</v>
      </c>
      <c r="D62" s="475">
        <f>SUM(D63:D66)</f>
        <v>16544</v>
      </c>
      <c r="E62" s="475">
        <f>SUM(E63:E66)</f>
        <v>-14830</v>
      </c>
      <c r="F62" s="1558">
        <f>SUM(F63:F66)</f>
        <v>1714</v>
      </c>
    </row>
    <row r="63" spans="1:6" s="7" customFormat="1" ht="16.5" customHeight="1">
      <c r="A63" s="105" t="s">
        <v>392</v>
      </c>
      <c r="B63" s="143" t="s">
        <v>390</v>
      </c>
      <c r="C63" s="817"/>
      <c r="D63" s="802"/>
      <c r="E63" s="849"/>
      <c r="F63" s="207"/>
    </row>
    <row r="64" spans="1:6" s="7" customFormat="1" ht="16.5" customHeight="1">
      <c r="A64" s="105" t="s">
        <v>393</v>
      </c>
      <c r="B64" s="143" t="s">
        <v>391</v>
      </c>
      <c r="C64" s="817"/>
      <c r="D64" s="802"/>
      <c r="E64" s="856"/>
      <c r="F64" s="882"/>
    </row>
    <row r="65" spans="1:6" s="7" customFormat="1" ht="16.5" customHeight="1">
      <c r="A65" s="105" t="s">
        <v>394</v>
      </c>
      <c r="B65" s="332" t="s">
        <v>395</v>
      </c>
      <c r="C65" s="818"/>
      <c r="D65" s="812"/>
      <c r="E65" s="853"/>
      <c r="F65" s="220"/>
    </row>
    <row r="66" spans="1:6" s="7" customFormat="1" ht="16.5" customHeight="1" thickBot="1">
      <c r="A66" s="209" t="s">
        <v>599</v>
      </c>
      <c r="B66" s="1453" t="s">
        <v>617</v>
      </c>
      <c r="C66" s="1450"/>
      <c r="D66" s="810">
        <v>16544</v>
      </c>
      <c r="E66" s="1454">
        <v>-14830</v>
      </c>
      <c r="F66" s="1343">
        <f>SUM(D66:E66)</f>
        <v>1714</v>
      </c>
    </row>
    <row r="67" spans="1:6" s="7" customFormat="1" ht="16.5" customHeight="1" thickBot="1">
      <c r="A67" s="101" t="s">
        <v>47</v>
      </c>
      <c r="B67" s="60" t="s">
        <v>281</v>
      </c>
      <c r="C67" s="639">
        <f>SUM(C68:C70)</f>
        <v>0</v>
      </c>
      <c r="D67" s="798">
        <f>SUM(D68:D70)</f>
        <v>250</v>
      </c>
      <c r="E67" s="798">
        <f>SUM(E68:E70)</f>
        <v>0</v>
      </c>
      <c r="F67" s="1455">
        <f>SUM(F68:F70)</f>
        <v>250</v>
      </c>
    </row>
    <row r="68" spans="1:6" s="7" customFormat="1" ht="20.25" customHeight="1">
      <c r="A68" s="103" t="s">
        <v>16</v>
      </c>
      <c r="B68" s="136" t="s">
        <v>282</v>
      </c>
      <c r="C68" s="799"/>
      <c r="D68" s="811"/>
      <c r="E68" s="850"/>
      <c r="F68" s="877"/>
    </row>
    <row r="69" spans="1:6" s="7" customFormat="1" ht="33" customHeight="1">
      <c r="A69" s="104" t="s">
        <v>17</v>
      </c>
      <c r="B69" s="137" t="s">
        <v>283</v>
      </c>
      <c r="C69" s="801"/>
      <c r="D69" s="802"/>
      <c r="E69" s="1024"/>
      <c r="F69" s="1027"/>
    </row>
    <row r="70" spans="1:6" s="7" customFormat="1" ht="16.5" customHeight="1" thickBot="1">
      <c r="A70" s="105" t="s">
        <v>48</v>
      </c>
      <c r="B70" s="138" t="s">
        <v>284</v>
      </c>
      <c r="C70" s="803"/>
      <c r="D70" s="812">
        <v>250</v>
      </c>
      <c r="E70" s="1029"/>
      <c r="F70" s="1559">
        <f>SUM(D70:E70)</f>
        <v>250</v>
      </c>
    </row>
    <row r="71" spans="1:6" s="7" customFormat="1" ht="16.5" customHeight="1" thickBot="1">
      <c r="A71" s="101" t="s">
        <v>78</v>
      </c>
      <c r="B71" s="30" t="s">
        <v>285</v>
      </c>
      <c r="C71" s="455">
        <f>SUM(C72:C74)</f>
        <v>0</v>
      </c>
      <c r="D71" s="798">
        <f>SUM(D72:D74)</f>
        <v>0</v>
      </c>
      <c r="E71" s="798">
        <f>SUM(E72:E74)</f>
        <v>0</v>
      </c>
      <c r="F71" s="1455">
        <f>SUM(F72:F74)</f>
        <v>0</v>
      </c>
    </row>
    <row r="72" spans="1:6" s="7" customFormat="1" ht="21" customHeight="1">
      <c r="A72" s="103" t="s">
        <v>49</v>
      </c>
      <c r="B72" s="136" t="s">
        <v>286</v>
      </c>
      <c r="C72" s="819"/>
      <c r="D72" s="1028"/>
      <c r="E72" s="486"/>
      <c r="F72" s="213"/>
    </row>
    <row r="73" spans="1:6" s="7" customFormat="1" ht="21" customHeight="1">
      <c r="A73" s="104" t="s">
        <v>50</v>
      </c>
      <c r="B73" s="137" t="s">
        <v>408</v>
      </c>
      <c r="C73" s="817"/>
      <c r="D73" s="802"/>
      <c r="E73" s="1024"/>
      <c r="F73" s="1027"/>
    </row>
    <row r="74" spans="1:6" s="7" customFormat="1" ht="16.5" customHeight="1" thickBot="1">
      <c r="A74" s="105" t="s">
        <v>107</v>
      </c>
      <c r="B74" s="138" t="s">
        <v>287</v>
      </c>
      <c r="C74" s="818"/>
      <c r="D74" s="812"/>
      <c r="E74" s="1029"/>
      <c r="F74" s="1030"/>
    </row>
    <row r="75" spans="1:6" s="7" customFormat="1" ht="24" customHeight="1" thickBot="1">
      <c r="A75" s="101" t="s">
        <v>79</v>
      </c>
      <c r="B75" s="60" t="s">
        <v>288</v>
      </c>
      <c r="C75" s="622">
        <f>+C6+C13+C24+C35+C44+C58+C67+C71</f>
        <v>255009</v>
      </c>
      <c r="D75" s="487">
        <f>+D6+D13+D24+D35+D44+D58+D67+D71</f>
        <v>277060</v>
      </c>
      <c r="E75" s="487">
        <f>+E6+E13+E24+E35+E44+E58+E67+E71</f>
        <v>-4323</v>
      </c>
      <c r="F75" s="488">
        <f>+F6+F13+F24+F35+F44+F58+F67+F71</f>
        <v>272737</v>
      </c>
    </row>
    <row r="76" spans="1:6" s="7" customFormat="1" ht="16.5" customHeight="1" thickBot="1">
      <c r="A76" s="57" t="s">
        <v>289</v>
      </c>
      <c r="B76" s="139" t="s">
        <v>290</v>
      </c>
      <c r="C76" s="639">
        <f>SUM(C77:C79)</f>
        <v>0</v>
      </c>
      <c r="D76" s="798">
        <f>SUM(D77:D79)</f>
        <v>0</v>
      </c>
      <c r="E76" s="999"/>
      <c r="F76" s="876"/>
    </row>
    <row r="77" spans="1:6" s="7" customFormat="1" ht="16.5" customHeight="1">
      <c r="A77" s="103" t="s">
        <v>291</v>
      </c>
      <c r="B77" s="136" t="s">
        <v>292</v>
      </c>
      <c r="C77" s="819"/>
      <c r="D77" s="811"/>
      <c r="E77" s="1003"/>
      <c r="F77" s="1004"/>
    </row>
    <row r="78" spans="1:6" s="7" customFormat="1" ht="16.5" customHeight="1">
      <c r="A78" s="104" t="s">
        <v>293</v>
      </c>
      <c r="B78" s="137" t="s">
        <v>294</v>
      </c>
      <c r="C78" s="817"/>
      <c r="D78" s="802"/>
      <c r="E78" s="1024"/>
      <c r="F78" s="1027"/>
    </row>
    <row r="79" spans="1:6" s="7" customFormat="1" ht="16.5" customHeight="1" thickBot="1">
      <c r="A79" s="105" t="s">
        <v>295</v>
      </c>
      <c r="B79" s="145" t="s">
        <v>396</v>
      </c>
      <c r="C79" s="818"/>
      <c r="D79" s="812"/>
      <c r="E79" s="1029"/>
      <c r="F79" s="1030"/>
    </row>
    <row r="80" spans="1:6" s="7" customFormat="1" ht="16.5" customHeight="1" thickBot="1">
      <c r="A80" s="57" t="s">
        <v>296</v>
      </c>
      <c r="B80" s="139" t="s">
        <v>297</v>
      </c>
      <c r="C80" s="639">
        <f>SUM(C81:C84)</f>
        <v>0</v>
      </c>
      <c r="D80" s="590">
        <f>SUM(D81:D84)</f>
        <v>0</v>
      </c>
      <c r="E80" s="999"/>
      <c r="F80" s="876"/>
    </row>
    <row r="81" spans="1:6" s="7" customFormat="1" ht="16.5" customHeight="1">
      <c r="A81" s="103" t="s">
        <v>37</v>
      </c>
      <c r="B81" s="136" t="s">
        <v>298</v>
      </c>
      <c r="C81" s="819"/>
      <c r="D81" s="811"/>
      <c r="E81" s="850"/>
      <c r="F81" s="877"/>
    </row>
    <row r="82" spans="1:6" s="7" customFormat="1" ht="16.5" customHeight="1">
      <c r="A82" s="104" t="s">
        <v>38</v>
      </c>
      <c r="B82" s="137" t="s">
        <v>299</v>
      </c>
      <c r="C82" s="817"/>
      <c r="D82" s="802"/>
      <c r="E82" s="1024"/>
      <c r="F82" s="1027"/>
    </row>
    <row r="83" spans="1:6" s="7" customFormat="1" ht="16.5" customHeight="1">
      <c r="A83" s="104" t="s">
        <v>300</v>
      </c>
      <c r="B83" s="137" t="s">
        <v>301</v>
      </c>
      <c r="C83" s="817"/>
      <c r="D83" s="802"/>
      <c r="E83" s="855"/>
      <c r="F83" s="213"/>
    </row>
    <row r="84" spans="1:6" s="7" customFormat="1" ht="16.5" customHeight="1" thickBot="1">
      <c r="A84" s="105" t="s">
        <v>302</v>
      </c>
      <c r="B84" s="138" t="s">
        <v>303</v>
      </c>
      <c r="C84" s="818"/>
      <c r="D84" s="812"/>
      <c r="E84" s="853"/>
      <c r="F84" s="220"/>
    </row>
    <row r="85" spans="1:6" s="7" customFormat="1" ht="16.5" customHeight="1" thickBot="1">
      <c r="A85" s="57" t="s">
        <v>304</v>
      </c>
      <c r="B85" s="139" t="s">
        <v>305</v>
      </c>
      <c r="C85" s="639">
        <f>SUM(C86+C89)</f>
        <v>4437</v>
      </c>
      <c r="D85" s="798">
        <f>SUM(D86+D89)</f>
        <v>17648</v>
      </c>
      <c r="E85" s="798">
        <f>SUM(E86+E89)</f>
        <v>0</v>
      </c>
      <c r="F85" s="1455">
        <f>SUM(F86+F89)</f>
        <v>17648</v>
      </c>
    </row>
    <row r="86" spans="1:6" s="7" customFormat="1" ht="16.5" customHeight="1">
      <c r="A86" s="103" t="s">
        <v>51</v>
      </c>
      <c r="B86" s="136" t="s">
        <v>306</v>
      </c>
      <c r="C86" s="819">
        <f>SUM(C87:C88)</f>
        <v>4437</v>
      </c>
      <c r="D86" s="820">
        <f>SUM(D87:D88)</f>
        <v>17648</v>
      </c>
      <c r="E86" s="820">
        <f>SUM(E87:E88)</f>
        <v>0</v>
      </c>
      <c r="F86" s="1458">
        <f>SUM(F87:F88)</f>
        <v>17648</v>
      </c>
    </row>
    <row r="87" spans="1:6" s="7" customFormat="1" ht="16.5" customHeight="1">
      <c r="A87" s="104" t="s">
        <v>399</v>
      </c>
      <c r="B87" s="146" t="s">
        <v>397</v>
      </c>
      <c r="C87" s="814"/>
      <c r="D87" s="821">
        <v>1048</v>
      </c>
      <c r="E87" s="1024"/>
      <c r="F87" s="1457">
        <f>SUM(D87:E87)</f>
        <v>1048</v>
      </c>
    </row>
    <row r="88" spans="1:6" s="7" customFormat="1" ht="16.5" customHeight="1">
      <c r="A88" s="111" t="s">
        <v>400</v>
      </c>
      <c r="B88" s="146" t="s">
        <v>398</v>
      </c>
      <c r="C88" s="814">
        <v>4437</v>
      </c>
      <c r="D88" s="821">
        <v>16600</v>
      </c>
      <c r="E88" s="857"/>
      <c r="F88" s="1457">
        <f>SUM(D88:E88)</f>
        <v>16600</v>
      </c>
    </row>
    <row r="89" spans="1:6" s="7" customFormat="1" ht="16.5" customHeight="1" thickBot="1">
      <c r="A89" s="209" t="s">
        <v>52</v>
      </c>
      <c r="B89" s="214" t="s">
        <v>307</v>
      </c>
      <c r="C89" s="1450"/>
      <c r="D89" s="810"/>
      <c r="E89" s="1436"/>
      <c r="F89" s="875"/>
    </row>
    <row r="90" spans="1:6" s="6" customFormat="1" ht="16.5" customHeight="1" thickBot="1">
      <c r="A90" s="57" t="s">
        <v>308</v>
      </c>
      <c r="B90" s="139" t="s">
        <v>309</v>
      </c>
      <c r="C90" s="639">
        <f>SUM(C91:C93)</f>
        <v>0</v>
      </c>
      <c r="D90" s="798">
        <f>SUM(D91:D93)</f>
        <v>0</v>
      </c>
      <c r="E90" s="798">
        <f>SUM(E91:E93)</f>
        <v>0</v>
      </c>
      <c r="F90" s="1455">
        <f>SUM(F91:F93)</f>
        <v>0</v>
      </c>
    </row>
    <row r="91" spans="1:6" s="7" customFormat="1" ht="16.5" customHeight="1">
      <c r="A91" s="103" t="s">
        <v>310</v>
      </c>
      <c r="B91" s="136" t="s">
        <v>311</v>
      </c>
      <c r="C91" s="819"/>
      <c r="D91" s="811"/>
      <c r="E91" s="850"/>
      <c r="F91" s="877"/>
    </row>
    <row r="92" spans="1:6" s="7" customFormat="1" ht="16.5" customHeight="1">
      <c r="A92" s="104" t="s">
        <v>312</v>
      </c>
      <c r="B92" s="137" t="s">
        <v>313</v>
      </c>
      <c r="C92" s="817"/>
      <c r="D92" s="802"/>
      <c r="E92" s="1024"/>
      <c r="F92" s="1027"/>
    </row>
    <row r="93" spans="1:6" s="7" customFormat="1" ht="16.5" customHeight="1" thickBot="1">
      <c r="A93" s="105" t="s">
        <v>314</v>
      </c>
      <c r="B93" s="138" t="s">
        <v>315</v>
      </c>
      <c r="C93" s="818"/>
      <c r="D93" s="812"/>
      <c r="E93" s="1029"/>
      <c r="F93" s="1030"/>
    </row>
    <row r="94" spans="1:6" s="7" customFormat="1" ht="16.5" customHeight="1" thickBot="1">
      <c r="A94" s="57" t="s">
        <v>316</v>
      </c>
      <c r="B94" s="139" t="s">
        <v>317</v>
      </c>
      <c r="C94" s="639">
        <f>SUM(C95:C98)</f>
        <v>0</v>
      </c>
      <c r="D94" s="798">
        <f>SUM(D95:D98)</f>
        <v>0</v>
      </c>
      <c r="E94" s="798">
        <f>SUM(E95:E98)</f>
        <v>0</v>
      </c>
      <c r="F94" s="1455">
        <f>SUM(F95:F98)</f>
        <v>0</v>
      </c>
    </row>
    <row r="95" spans="1:6" s="7" customFormat="1" ht="16.5" customHeight="1">
      <c r="A95" s="106" t="s">
        <v>318</v>
      </c>
      <c r="B95" s="136" t="s">
        <v>319</v>
      </c>
      <c r="C95" s="819"/>
      <c r="D95" s="811"/>
      <c r="E95" s="850"/>
      <c r="F95" s="877"/>
    </row>
    <row r="96" spans="1:6" s="7" customFormat="1" ht="16.5" customHeight="1">
      <c r="A96" s="107" t="s">
        <v>320</v>
      </c>
      <c r="B96" s="137" t="s">
        <v>321</v>
      </c>
      <c r="C96" s="817"/>
      <c r="D96" s="802"/>
      <c r="E96" s="1024"/>
      <c r="F96" s="1027"/>
    </row>
    <row r="97" spans="1:6" s="7" customFormat="1" ht="16.5" customHeight="1">
      <c r="A97" s="107" t="s">
        <v>322</v>
      </c>
      <c r="B97" s="137" t="s">
        <v>323</v>
      </c>
      <c r="C97" s="817"/>
      <c r="D97" s="802"/>
      <c r="E97" s="855"/>
      <c r="F97" s="213"/>
    </row>
    <row r="98" spans="1:6" s="6" customFormat="1" ht="16.5" customHeight="1" thickBot="1">
      <c r="A98" s="108" t="s">
        <v>324</v>
      </c>
      <c r="B98" s="138" t="s">
        <v>325</v>
      </c>
      <c r="C98" s="818"/>
      <c r="D98" s="822"/>
      <c r="E98" s="853"/>
      <c r="F98" s="220"/>
    </row>
    <row r="99" spans="1:6" s="6" customFormat="1" ht="16.5" customHeight="1" thickBot="1">
      <c r="A99" s="57" t="s">
        <v>326</v>
      </c>
      <c r="B99" s="139" t="s">
        <v>327</v>
      </c>
      <c r="C99" s="823"/>
      <c r="D99" s="824"/>
      <c r="E99" s="999"/>
      <c r="F99" s="876"/>
    </row>
    <row r="100" spans="1:6" s="6" customFormat="1" ht="16.5" customHeight="1" thickBot="1">
      <c r="A100" s="57" t="s">
        <v>328</v>
      </c>
      <c r="B100" s="147" t="s">
        <v>329</v>
      </c>
      <c r="C100" s="622">
        <f>+C76+C80+C85+C90+C94+C99</f>
        <v>4437</v>
      </c>
      <c r="D100" s="825">
        <f>+D76+D80+D85+D90+D94+D99</f>
        <v>17648</v>
      </c>
      <c r="E100" s="825">
        <f>+E76+E80+E85+E90+E94+E99</f>
        <v>0</v>
      </c>
      <c r="F100" s="1459">
        <f>+F76+F80+F85+F90+F94+F99</f>
        <v>17648</v>
      </c>
    </row>
    <row r="101" spans="1:6" s="6" customFormat="1" ht="24" customHeight="1" thickBot="1">
      <c r="A101" s="57" t="s">
        <v>330</v>
      </c>
      <c r="B101" s="147" t="s">
        <v>331</v>
      </c>
      <c r="C101" s="622">
        <f>+C75+C100</f>
        <v>259446</v>
      </c>
      <c r="D101" s="487">
        <f>+D75+D100</f>
        <v>294708</v>
      </c>
      <c r="E101" s="487">
        <f>+E75+E100</f>
        <v>-4323</v>
      </c>
      <c r="F101" s="488">
        <f>+F75+F100</f>
        <v>290385</v>
      </c>
    </row>
    <row r="102" spans="1:6" s="6" customFormat="1" ht="18" customHeight="1">
      <c r="A102" s="335"/>
      <c r="B102" s="336"/>
      <c r="C102" s="352"/>
      <c r="D102" s="337"/>
      <c r="E102" s="1005"/>
      <c r="F102" s="1005"/>
    </row>
    <row r="103" spans="1:6" s="3" customFormat="1" ht="19.5" customHeight="1" thickBot="1">
      <c r="A103" s="1624" t="s">
        <v>2</v>
      </c>
      <c r="B103" s="1624"/>
      <c r="C103" s="1624"/>
      <c r="D103" s="1624"/>
      <c r="E103" s="1624"/>
    </row>
    <row r="104" spans="1:6" s="3" customFormat="1" ht="35.25" customHeight="1" thickBot="1">
      <c r="A104" s="125" t="s">
        <v>59</v>
      </c>
      <c r="B104" s="125" t="s">
        <v>0</v>
      </c>
      <c r="C104" s="202" t="s">
        <v>104</v>
      </c>
      <c r="D104" s="203" t="s">
        <v>471</v>
      </c>
      <c r="E104" s="918" t="s">
        <v>618</v>
      </c>
      <c r="F104" s="918" t="s">
        <v>558</v>
      </c>
    </row>
    <row r="105" spans="1:6" s="3" customFormat="1" ht="12" customHeight="1" thickBot="1">
      <c r="A105" s="359">
        <v>1</v>
      </c>
      <c r="B105" s="355">
        <v>2</v>
      </c>
      <c r="C105" s="349">
        <v>3</v>
      </c>
      <c r="D105" s="360">
        <v>4</v>
      </c>
      <c r="E105" s="9">
        <v>5</v>
      </c>
      <c r="F105" s="1008">
        <v>6</v>
      </c>
    </row>
    <row r="106" spans="1:6" s="6" customFormat="1" ht="16.5" customHeight="1" thickBot="1">
      <c r="A106" s="101" t="s">
        <v>71</v>
      </c>
      <c r="B106" s="149" t="s">
        <v>364</v>
      </c>
      <c r="C106" s="612">
        <f>SUM(C107:C111)</f>
        <v>371994</v>
      </c>
      <c r="D106" s="826">
        <f>SUM(D107:D111)</f>
        <v>388736</v>
      </c>
      <c r="E106" s="837">
        <f>SUM(E107:E111)</f>
        <v>10515</v>
      </c>
      <c r="F106" s="1437">
        <f>SUM(F107:F111)</f>
        <v>399251</v>
      </c>
    </row>
    <row r="107" spans="1:6" s="26" customFormat="1" ht="16.5" customHeight="1">
      <c r="A107" s="103" t="s">
        <v>18</v>
      </c>
      <c r="B107" s="159" t="s">
        <v>98</v>
      </c>
      <c r="C107" s="620">
        <v>113108</v>
      </c>
      <c r="D107" s="637">
        <v>125477</v>
      </c>
      <c r="E107" s="1011">
        <v>332</v>
      </c>
      <c r="F107" s="1086">
        <f>SUM(D107:E107)</f>
        <v>125809</v>
      </c>
    </row>
    <row r="108" spans="1:6" s="26" customFormat="1" ht="16.5" customHeight="1">
      <c r="A108" s="104" t="s">
        <v>19</v>
      </c>
      <c r="B108" s="151" t="s">
        <v>53</v>
      </c>
      <c r="C108" s="614">
        <v>31933</v>
      </c>
      <c r="D108" s="625">
        <v>35340</v>
      </c>
      <c r="E108" s="783">
        <v>98</v>
      </c>
      <c r="F108" s="1089">
        <f>SUM(D108:E108)</f>
        <v>35438</v>
      </c>
    </row>
    <row r="109" spans="1:6" s="26" customFormat="1" ht="16.5" customHeight="1">
      <c r="A109" s="104" t="s">
        <v>20</v>
      </c>
      <c r="B109" s="151" t="s">
        <v>35</v>
      </c>
      <c r="C109" s="614">
        <v>181113</v>
      </c>
      <c r="D109" s="625">
        <v>181961</v>
      </c>
      <c r="E109" s="783">
        <v>15994</v>
      </c>
      <c r="F109" s="1089">
        <f>SUM(D109:E109)</f>
        <v>197955</v>
      </c>
    </row>
    <row r="110" spans="1:6" s="26" customFormat="1" ht="16.5" customHeight="1">
      <c r="A110" s="104" t="s">
        <v>21</v>
      </c>
      <c r="B110" s="152" t="s">
        <v>54</v>
      </c>
      <c r="C110" s="614">
        <v>5000</v>
      </c>
      <c r="D110" s="625">
        <v>5000</v>
      </c>
      <c r="E110" s="783">
        <v>-1297</v>
      </c>
      <c r="F110" s="1089">
        <f>SUM(D110:E110)</f>
        <v>3703</v>
      </c>
    </row>
    <row r="111" spans="1:6" s="26" customFormat="1" ht="16.5" customHeight="1">
      <c r="A111" s="104" t="s">
        <v>29</v>
      </c>
      <c r="B111" s="35" t="s">
        <v>55</v>
      </c>
      <c r="C111" s="614">
        <f>SUM(C112:C119)</f>
        <v>40840</v>
      </c>
      <c r="D111" s="827">
        <f>SUM(D112:D119)</f>
        <v>40958</v>
      </c>
      <c r="E111" s="781">
        <f>SUM(E112:E119)</f>
        <v>-4612</v>
      </c>
      <c r="F111" s="1462">
        <f>SUM(F112:F119)</f>
        <v>36346</v>
      </c>
    </row>
    <row r="112" spans="1:6" s="26" customFormat="1" ht="16.5" customHeight="1">
      <c r="A112" s="104" t="s">
        <v>410</v>
      </c>
      <c r="B112" s="153" t="s">
        <v>409</v>
      </c>
      <c r="C112" s="614"/>
      <c r="D112" s="625"/>
      <c r="E112" s="783"/>
      <c r="F112" s="885"/>
    </row>
    <row r="113" spans="1:6" s="26" customFormat="1" ht="16.5" customHeight="1">
      <c r="A113" s="104" t="s">
        <v>411</v>
      </c>
      <c r="B113" s="154" t="s">
        <v>332</v>
      </c>
      <c r="C113" s="614"/>
      <c r="D113" s="625"/>
      <c r="E113" s="783"/>
      <c r="F113" s="885"/>
    </row>
    <row r="114" spans="1:6" s="26" customFormat="1" ht="16.5" customHeight="1">
      <c r="A114" s="104" t="s">
        <v>412</v>
      </c>
      <c r="B114" s="154" t="s">
        <v>333</v>
      </c>
      <c r="C114" s="614"/>
      <c r="D114" s="625"/>
      <c r="E114" s="783"/>
      <c r="F114" s="885"/>
    </row>
    <row r="115" spans="1:6" s="26" customFormat="1" ht="16.5" customHeight="1">
      <c r="A115" s="104" t="s">
        <v>413</v>
      </c>
      <c r="B115" s="155" t="s">
        <v>334</v>
      </c>
      <c r="C115" s="614">
        <v>14940</v>
      </c>
      <c r="D115" s="625">
        <v>10986</v>
      </c>
      <c r="E115" s="783">
        <v>-5667</v>
      </c>
      <c r="F115" s="1089">
        <f>SUM(D115:E115)</f>
        <v>5319</v>
      </c>
    </row>
    <row r="116" spans="1:6" s="26" customFormat="1" ht="16.5" customHeight="1">
      <c r="A116" s="104" t="s">
        <v>414</v>
      </c>
      <c r="B116" s="154" t="s">
        <v>335</v>
      </c>
      <c r="C116" s="614"/>
      <c r="D116" s="625"/>
      <c r="E116" s="783"/>
      <c r="F116" s="885"/>
    </row>
    <row r="117" spans="1:6" s="26" customFormat="1" ht="16.5" customHeight="1">
      <c r="A117" s="104" t="s">
        <v>415</v>
      </c>
      <c r="B117" s="156" t="s">
        <v>336</v>
      </c>
      <c r="C117" s="614"/>
      <c r="D117" s="625"/>
      <c r="E117" s="783"/>
      <c r="F117" s="885"/>
    </row>
    <row r="118" spans="1:6" s="26" customFormat="1" ht="16.5" customHeight="1">
      <c r="A118" s="104" t="s">
        <v>416</v>
      </c>
      <c r="B118" s="156" t="s">
        <v>337</v>
      </c>
      <c r="C118" s="614"/>
      <c r="D118" s="625"/>
      <c r="E118" s="783"/>
      <c r="F118" s="885"/>
    </row>
    <row r="119" spans="1:6" s="26" customFormat="1" ht="16.5" customHeight="1" thickBot="1">
      <c r="A119" s="209" t="s">
        <v>417</v>
      </c>
      <c r="B119" s="1463" t="s">
        <v>338</v>
      </c>
      <c r="C119" s="621">
        <v>25900</v>
      </c>
      <c r="D119" s="638">
        <v>29972</v>
      </c>
      <c r="E119" s="1441">
        <v>1055</v>
      </c>
      <c r="F119" s="1446">
        <f>SUM(D119:E119)</f>
        <v>31027</v>
      </c>
    </row>
    <row r="120" spans="1:6" s="26" customFormat="1" ht="16.5" customHeight="1" thickBot="1">
      <c r="A120" s="101" t="s">
        <v>72</v>
      </c>
      <c r="B120" s="149" t="s">
        <v>418</v>
      </c>
      <c r="C120" s="639">
        <f>SUM(C121+C127+C128)</f>
        <v>75228</v>
      </c>
      <c r="D120" s="826">
        <f>SUM(D121+D127+D128)</f>
        <v>119798</v>
      </c>
      <c r="E120" s="837">
        <f>SUM(E121+E127+E128)</f>
        <v>-19744</v>
      </c>
      <c r="F120" s="1437">
        <f>SUM(F121+F127+F128)</f>
        <v>100054</v>
      </c>
    </row>
    <row r="121" spans="1:6" s="26" customFormat="1" ht="16.5" customHeight="1">
      <c r="A121" s="110" t="s">
        <v>24</v>
      </c>
      <c r="B121" s="150" t="s">
        <v>108</v>
      </c>
      <c r="C121" s="805">
        <v>75228</v>
      </c>
      <c r="D121" s="828">
        <f>SUM(D122:D126)</f>
        <v>116851</v>
      </c>
      <c r="E121" s="1010">
        <f>SUM(E122:E126)</f>
        <v>-21244</v>
      </c>
      <c r="F121" s="1438">
        <f>SUM(F122:F126)</f>
        <v>95607</v>
      </c>
    </row>
    <row r="122" spans="1:6" s="26" customFormat="1" ht="16.5" customHeight="1">
      <c r="A122" s="117" t="s">
        <v>401</v>
      </c>
      <c r="B122" s="328" t="s">
        <v>406</v>
      </c>
      <c r="C122" s="814">
        <v>75228</v>
      </c>
      <c r="D122" s="829">
        <v>116851</v>
      </c>
      <c r="E122" s="1010">
        <v>-21244</v>
      </c>
      <c r="F122" s="1089">
        <f>SUM(D122:E122)</f>
        <v>95607</v>
      </c>
    </row>
    <row r="123" spans="1:6" s="26" customFormat="1" ht="34.5" customHeight="1">
      <c r="A123" s="117" t="s">
        <v>402</v>
      </c>
      <c r="B123" s="328" t="s">
        <v>110</v>
      </c>
      <c r="C123" s="814"/>
      <c r="D123" s="829"/>
      <c r="E123" s="783"/>
      <c r="F123" s="885"/>
    </row>
    <row r="124" spans="1:6" s="26" customFormat="1" ht="34.5" customHeight="1">
      <c r="A124" s="117" t="s">
        <v>403</v>
      </c>
      <c r="B124" s="328" t="s">
        <v>118</v>
      </c>
      <c r="C124" s="814"/>
      <c r="D124" s="829"/>
      <c r="E124" s="783"/>
      <c r="F124" s="885"/>
    </row>
    <row r="125" spans="1:6" s="26" customFormat="1" ht="34.5" customHeight="1">
      <c r="A125" s="117" t="s">
        <v>404</v>
      </c>
      <c r="B125" s="328" t="s">
        <v>116</v>
      </c>
      <c r="C125" s="814"/>
      <c r="D125" s="829"/>
      <c r="E125" s="783"/>
      <c r="F125" s="885"/>
    </row>
    <row r="126" spans="1:6" s="26" customFormat="1" ht="43.5" customHeight="1">
      <c r="A126" s="117" t="s">
        <v>405</v>
      </c>
      <c r="B126" s="328" t="s">
        <v>124</v>
      </c>
      <c r="C126" s="814"/>
      <c r="D126" s="829"/>
      <c r="E126" s="783"/>
      <c r="F126" s="885"/>
    </row>
    <row r="127" spans="1:6" s="26" customFormat="1" ht="16.5" customHeight="1">
      <c r="A127" s="103" t="s">
        <v>25</v>
      </c>
      <c r="B127" s="157" t="s">
        <v>56</v>
      </c>
      <c r="C127" s="801"/>
      <c r="D127" s="829">
        <v>1761</v>
      </c>
      <c r="E127" s="783"/>
      <c r="F127" s="1089">
        <f>SUM(D127:E127)</f>
        <v>1761</v>
      </c>
    </row>
    <row r="128" spans="1:6" s="26" customFormat="1" ht="16.5" customHeight="1">
      <c r="A128" s="103" t="s">
        <v>26</v>
      </c>
      <c r="B128" s="158" t="s">
        <v>109</v>
      </c>
      <c r="C128" s="801">
        <f>SUM(C129:C134)</f>
        <v>0</v>
      </c>
      <c r="D128" s="830">
        <f>SUM(D129:D134)</f>
        <v>1186</v>
      </c>
      <c r="E128" s="785">
        <f>SUM(E129:E134)</f>
        <v>1500</v>
      </c>
      <c r="F128" s="1089">
        <f>SUM(D128:E128)</f>
        <v>2686</v>
      </c>
    </row>
    <row r="129" spans="1:6" s="26" customFormat="1" ht="16.5" customHeight="1">
      <c r="A129" s="103" t="s">
        <v>366</v>
      </c>
      <c r="B129" s="159" t="s">
        <v>339</v>
      </c>
      <c r="C129" s="801"/>
      <c r="D129" s="829"/>
      <c r="E129" s="783"/>
      <c r="F129" s="885"/>
    </row>
    <row r="130" spans="1:6" s="26" customFormat="1" ht="16.5" customHeight="1">
      <c r="A130" s="103" t="s">
        <v>367</v>
      </c>
      <c r="B130" s="151" t="s">
        <v>333</v>
      </c>
      <c r="C130" s="801"/>
      <c r="D130" s="829"/>
      <c r="E130" s="783"/>
      <c r="F130" s="885"/>
    </row>
    <row r="131" spans="1:6" s="26" customFormat="1" ht="16.5" customHeight="1">
      <c r="A131" s="103" t="s">
        <v>368</v>
      </c>
      <c r="B131" s="151" t="s">
        <v>340</v>
      </c>
      <c r="C131" s="801"/>
      <c r="D131" s="829"/>
      <c r="E131" s="783"/>
      <c r="F131" s="885"/>
    </row>
    <row r="132" spans="1:6" s="26" customFormat="1" ht="18.75" customHeight="1">
      <c r="A132" s="103" t="s">
        <v>369</v>
      </c>
      <c r="B132" s="151" t="s">
        <v>407</v>
      </c>
      <c r="C132" s="801"/>
      <c r="D132" s="829"/>
      <c r="E132" s="783"/>
      <c r="F132" s="885"/>
    </row>
    <row r="133" spans="1:6" s="26" customFormat="1" ht="16.5" customHeight="1">
      <c r="A133" s="103" t="s">
        <v>419</v>
      </c>
      <c r="B133" s="151" t="s">
        <v>578</v>
      </c>
      <c r="C133" s="801"/>
      <c r="D133" s="829"/>
      <c r="E133" s="783"/>
      <c r="F133" s="885"/>
    </row>
    <row r="134" spans="1:6" s="26" customFormat="1" ht="16.5" customHeight="1" thickBot="1">
      <c r="A134" s="462" t="s">
        <v>420</v>
      </c>
      <c r="B134" s="464" t="s">
        <v>341</v>
      </c>
      <c r="C134" s="809"/>
      <c r="D134" s="831">
        <v>1186</v>
      </c>
      <c r="E134" s="788">
        <v>1500</v>
      </c>
      <c r="F134" s="1461">
        <f>SUM(D134:E134)</f>
        <v>2686</v>
      </c>
    </row>
    <row r="135" spans="1:6" s="26" customFormat="1" ht="16.5" customHeight="1" thickBot="1">
      <c r="A135" s="101" t="s">
        <v>73</v>
      </c>
      <c r="B135" s="62" t="s">
        <v>342</v>
      </c>
      <c r="C135" s="612">
        <f>SUM(C136+C139)</f>
        <v>7000</v>
      </c>
      <c r="D135" s="826">
        <f>SUM(D136+D139)</f>
        <v>2461</v>
      </c>
      <c r="E135" s="837">
        <f>SUM(E136+E139)</f>
        <v>1047</v>
      </c>
      <c r="F135" s="1437">
        <f>SUM(F136+F139)</f>
        <v>3508</v>
      </c>
    </row>
    <row r="136" spans="1:6" s="26" customFormat="1" ht="16.5" customHeight="1">
      <c r="A136" s="110" t="s">
        <v>5</v>
      </c>
      <c r="B136" s="461" t="s">
        <v>421</v>
      </c>
      <c r="C136" s="832">
        <f>SUM(C137:C138)</f>
        <v>5000</v>
      </c>
      <c r="D136" s="576">
        <f>SUM(D137:D138)</f>
        <v>2334</v>
      </c>
      <c r="E136" s="1011">
        <f>SUM(E137:E138)</f>
        <v>1141</v>
      </c>
      <c r="F136" s="1465">
        <f>SUM(F137:F138)</f>
        <v>3475</v>
      </c>
    </row>
    <row r="137" spans="1:6" s="26" customFormat="1" ht="16.5" customHeight="1">
      <c r="A137" s="104" t="s">
        <v>422</v>
      </c>
      <c r="B137" s="161" t="s">
        <v>424</v>
      </c>
      <c r="C137" s="814"/>
      <c r="D137" s="833"/>
      <c r="E137" s="791"/>
      <c r="F137" s="885"/>
    </row>
    <row r="138" spans="1:6" s="26" customFormat="1" ht="16.5" customHeight="1">
      <c r="A138" s="104" t="s">
        <v>423</v>
      </c>
      <c r="B138" s="161" t="s">
        <v>425</v>
      </c>
      <c r="C138" s="814">
        <v>5000</v>
      </c>
      <c r="D138" s="833">
        <v>2334</v>
      </c>
      <c r="E138" s="791">
        <v>1141</v>
      </c>
      <c r="F138" s="1089">
        <f>SUM(D138:E138)</f>
        <v>3475</v>
      </c>
    </row>
    <row r="139" spans="1:6" s="26" customFormat="1" ht="16.5" customHeight="1">
      <c r="A139" s="104" t="s">
        <v>6</v>
      </c>
      <c r="B139" s="143" t="s">
        <v>426</v>
      </c>
      <c r="C139" s="834">
        <f>SUM(C140:C141)</f>
        <v>2000</v>
      </c>
      <c r="D139" s="476">
        <f>SUM(D140:D141)</f>
        <v>127</v>
      </c>
      <c r="E139" s="783">
        <f>SUM(E140:E141)</f>
        <v>-94</v>
      </c>
      <c r="F139" s="1466">
        <f>SUM(F140:F141)</f>
        <v>33</v>
      </c>
    </row>
    <row r="140" spans="1:6" s="26" customFormat="1" ht="16.5" customHeight="1">
      <c r="A140" s="104" t="s">
        <v>427</v>
      </c>
      <c r="B140" s="161" t="s">
        <v>424</v>
      </c>
      <c r="C140" s="814"/>
      <c r="D140" s="833"/>
      <c r="E140" s="791"/>
      <c r="F140" s="885"/>
    </row>
    <row r="141" spans="1:6" s="26" customFormat="1" ht="16.5" customHeight="1" thickBot="1">
      <c r="A141" s="462" t="s">
        <v>428</v>
      </c>
      <c r="B141" s="463" t="s">
        <v>425</v>
      </c>
      <c r="C141" s="835">
        <v>2000</v>
      </c>
      <c r="D141" s="836">
        <v>127</v>
      </c>
      <c r="E141" s="1464">
        <v>-94</v>
      </c>
      <c r="F141" s="1446">
        <f>SUM(D141:E141)</f>
        <v>33</v>
      </c>
    </row>
    <row r="142" spans="1:6" s="26" customFormat="1" ht="16.5" customHeight="1" thickBot="1">
      <c r="A142" s="101" t="s">
        <v>74</v>
      </c>
      <c r="B142" s="62" t="s">
        <v>343</v>
      </c>
      <c r="C142" s="612">
        <f>+C106+C120+C135</f>
        <v>454222</v>
      </c>
      <c r="D142" s="826">
        <f>+D106+D120+D135</f>
        <v>510995</v>
      </c>
      <c r="E142" s="837">
        <f>+E106+E120+E135</f>
        <v>-8182</v>
      </c>
      <c r="F142" s="1437">
        <f>+F106+F120+F135</f>
        <v>502813</v>
      </c>
    </row>
    <row r="143" spans="1:6" s="26" customFormat="1" ht="16.5" customHeight="1" thickBot="1">
      <c r="A143" s="101" t="s">
        <v>75</v>
      </c>
      <c r="B143" s="62" t="s">
        <v>344</v>
      </c>
      <c r="C143" s="639">
        <f>+C144+C145+C146</f>
        <v>0</v>
      </c>
      <c r="D143" s="623">
        <f>+D144+D145+D146</f>
        <v>0</v>
      </c>
      <c r="E143" s="837">
        <f>+E144+E145+E146</f>
        <v>0</v>
      </c>
      <c r="F143" s="883"/>
    </row>
    <row r="144" spans="1:6" s="6" customFormat="1" ht="16.5" customHeight="1">
      <c r="A144" s="103" t="s">
        <v>11</v>
      </c>
      <c r="B144" s="159" t="s">
        <v>345</v>
      </c>
      <c r="C144" s="613"/>
      <c r="D144" s="627"/>
      <c r="E144" s="1014"/>
      <c r="F144" s="216"/>
    </row>
    <row r="145" spans="1:10" s="26" customFormat="1" ht="16.5" customHeight="1">
      <c r="A145" s="103" t="s">
        <v>12</v>
      </c>
      <c r="B145" s="159" t="s">
        <v>346</v>
      </c>
      <c r="C145" s="614"/>
      <c r="D145" s="625"/>
      <c r="E145" s="783"/>
      <c r="F145" s="885"/>
    </row>
    <row r="146" spans="1:10" s="26" customFormat="1" ht="16.5" customHeight="1" thickBot="1">
      <c r="A146" s="111" t="s">
        <v>13</v>
      </c>
      <c r="B146" s="162" t="s">
        <v>347</v>
      </c>
      <c r="C146" s="615"/>
      <c r="D146" s="626"/>
      <c r="E146" s="788"/>
      <c r="F146" s="886"/>
    </row>
    <row r="147" spans="1:10" s="26" customFormat="1" ht="16.5" customHeight="1" thickBot="1">
      <c r="A147" s="101" t="s">
        <v>76</v>
      </c>
      <c r="B147" s="62" t="s">
        <v>348</v>
      </c>
      <c r="C147" s="612">
        <f>+C148+C149+C150+C151</f>
        <v>0</v>
      </c>
      <c r="D147" s="623">
        <f>+D148+D149+D150+D151</f>
        <v>0</v>
      </c>
      <c r="E147" s="837">
        <f>+E148+E149+E150+E151</f>
        <v>0</v>
      </c>
      <c r="F147" s="1319">
        <v>0</v>
      </c>
    </row>
    <row r="148" spans="1:10" s="26" customFormat="1" ht="16.5" customHeight="1">
      <c r="A148" s="103" t="s">
        <v>14</v>
      </c>
      <c r="B148" s="159" t="s">
        <v>349</v>
      </c>
      <c r="C148" s="613"/>
      <c r="D148" s="624"/>
      <c r="E148" s="1011"/>
      <c r="F148" s="884"/>
    </row>
    <row r="149" spans="1:10" s="26" customFormat="1" ht="16.5" customHeight="1">
      <c r="A149" s="103" t="s">
        <v>15</v>
      </c>
      <c r="B149" s="159" t="s">
        <v>350</v>
      </c>
      <c r="C149" s="614"/>
      <c r="D149" s="625"/>
      <c r="E149" s="783"/>
      <c r="F149" s="885"/>
    </row>
    <row r="150" spans="1:10" s="26" customFormat="1" ht="16.5" customHeight="1">
      <c r="A150" s="103" t="s">
        <v>279</v>
      </c>
      <c r="B150" s="159" t="s">
        <v>351</v>
      </c>
      <c r="C150" s="614"/>
      <c r="D150" s="625"/>
      <c r="E150" s="783"/>
      <c r="F150" s="885"/>
    </row>
    <row r="151" spans="1:10" s="6" customFormat="1" ht="16.5" customHeight="1" thickBot="1">
      <c r="A151" s="111" t="s">
        <v>280</v>
      </c>
      <c r="B151" s="162" t="s">
        <v>352</v>
      </c>
      <c r="C151" s="615"/>
      <c r="D151" s="628"/>
      <c r="E151" s="788"/>
      <c r="F151" s="218"/>
    </row>
    <row r="152" spans="1:10" s="26" customFormat="1" ht="16.5" customHeight="1" thickBot="1">
      <c r="A152" s="101" t="s">
        <v>77</v>
      </c>
      <c r="B152" s="62" t="s">
        <v>430</v>
      </c>
      <c r="C152" s="616">
        <f>SUM(C153:C157)</f>
        <v>0</v>
      </c>
      <c r="D152" s="629">
        <f>SUM(D153:D157)</f>
        <v>0</v>
      </c>
      <c r="E152" s="1017">
        <f>SUM(E153:E157)</f>
        <v>0</v>
      </c>
      <c r="F152" s="1319">
        <v>0</v>
      </c>
      <c r="J152" s="112"/>
    </row>
    <row r="153" spans="1:10" s="26" customFormat="1" ht="16.5" customHeight="1">
      <c r="A153" s="103" t="s">
        <v>16</v>
      </c>
      <c r="B153" s="159" t="s">
        <v>353</v>
      </c>
      <c r="C153" s="613"/>
      <c r="D153" s="624"/>
      <c r="E153" s="1011"/>
      <c r="F153" s="884"/>
    </row>
    <row r="154" spans="1:10" s="26" customFormat="1" ht="16.5" customHeight="1">
      <c r="A154" s="117" t="s">
        <v>17</v>
      </c>
      <c r="B154" s="151" t="s">
        <v>354</v>
      </c>
      <c r="C154" s="614"/>
      <c r="D154" s="625"/>
      <c r="E154" s="783"/>
      <c r="F154" s="885"/>
    </row>
    <row r="155" spans="1:10" s="26" customFormat="1" ht="16.5" customHeight="1">
      <c r="A155" s="117" t="s">
        <v>48</v>
      </c>
      <c r="B155" s="151" t="s">
        <v>429</v>
      </c>
      <c r="C155" s="614"/>
      <c r="D155" s="625"/>
      <c r="E155" s="783"/>
      <c r="F155" s="885"/>
    </row>
    <row r="156" spans="1:10" s="6" customFormat="1" ht="16.5" customHeight="1">
      <c r="A156" s="117" t="s">
        <v>121</v>
      </c>
      <c r="B156" s="151" t="s">
        <v>355</v>
      </c>
      <c r="C156" s="614"/>
      <c r="D156" s="630"/>
      <c r="E156" s="792"/>
      <c r="F156" s="204"/>
    </row>
    <row r="157" spans="1:10" s="6" customFormat="1" ht="16.5" customHeight="1" thickBot="1">
      <c r="A157" s="111" t="s">
        <v>122</v>
      </c>
      <c r="B157" s="162" t="s">
        <v>356</v>
      </c>
      <c r="C157" s="615"/>
      <c r="D157" s="628"/>
      <c r="E157" s="1018"/>
      <c r="F157" s="218"/>
    </row>
    <row r="158" spans="1:10" s="6" customFormat="1" ht="16.5" customHeight="1" thickBot="1">
      <c r="A158" s="101" t="s">
        <v>78</v>
      </c>
      <c r="B158" s="62" t="s">
        <v>357</v>
      </c>
      <c r="C158" s="631">
        <f>+C159+C160+C161+C162</f>
        <v>0</v>
      </c>
      <c r="D158" s="632">
        <f>+D159+D160+D161+D162</f>
        <v>0</v>
      </c>
      <c r="E158" s="1019">
        <f>+E159+E160+E161+E162</f>
        <v>0</v>
      </c>
      <c r="F158" s="1319">
        <v>0</v>
      </c>
    </row>
    <row r="159" spans="1:10" s="6" customFormat="1" ht="16.5" customHeight="1">
      <c r="A159" s="103" t="s">
        <v>49</v>
      </c>
      <c r="B159" s="159" t="s">
        <v>358</v>
      </c>
      <c r="C159" s="613"/>
      <c r="D159" s="627"/>
      <c r="E159" s="1014"/>
      <c r="F159" s="216"/>
    </row>
    <row r="160" spans="1:10" s="6" customFormat="1" ht="16.5" customHeight="1">
      <c r="A160" s="103" t="s">
        <v>50</v>
      </c>
      <c r="B160" s="159" t="s">
        <v>359</v>
      </c>
      <c r="C160" s="614"/>
      <c r="D160" s="630"/>
      <c r="E160" s="792"/>
      <c r="F160" s="204"/>
    </row>
    <row r="161" spans="1:6" s="6" customFormat="1" ht="16.5" customHeight="1">
      <c r="A161" s="103" t="s">
        <v>107</v>
      </c>
      <c r="B161" s="159" t="s">
        <v>360</v>
      </c>
      <c r="C161" s="614"/>
      <c r="D161" s="630"/>
      <c r="E161" s="792"/>
      <c r="F161" s="204"/>
    </row>
    <row r="162" spans="1:6" s="26" customFormat="1" ht="16.5" customHeight="1" thickBot="1">
      <c r="A162" s="111" t="s">
        <v>119</v>
      </c>
      <c r="B162" s="162" t="s">
        <v>361</v>
      </c>
      <c r="C162" s="615"/>
      <c r="D162" s="626"/>
      <c r="E162" s="788"/>
      <c r="F162" s="886"/>
    </row>
    <row r="163" spans="1:6" s="26" customFormat="1" ht="16.5" customHeight="1" thickBot="1">
      <c r="A163" s="101" t="s">
        <v>79</v>
      </c>
      <c r="B163" s="62" t="s">
        <v>362</v>
      </c>
      <c r="C163" s="633">
        <f>+C143+C147+C152+C158</f>
        <v>0</v>
      </c>
      <c r="D163" s="634">
        <f>+D143+D147+D152+D158</f>
        <v>0</v>
      </c>
      <c r="E163" s="1023">
        <f>+E143+E147+E152+E158</f>
        <v>0</v>
      </c>
      <c r="F163" s="883">
        <v>0</v>
      </c>
    </row>
    <row r="164" spans="1:6" s="26" customFormat="1" ht="16.5" customHeight="1" thickBot="1">
      <c r="A164" s="36" t="s">
        <v>80</v>
      </c>
      <c r="B164" s="139" t="s">
        <v>363</v>
      </c>
      <c r="C164" s="635">
        <f>+C142+C163</f>
        <v>454222</v>
      </c>
      <c r="D164" s="636">
        <f>+D142+D163</f>
        <v>510995</v>
      </c>
      <c r="E164" s="1023">
        <f>+E142+E163</f>
        <v>-8182</v>
      </c>
      <c r="F164" s="1444">
        <f>+F142+F163</f>
        <v>502813</v>
      </c>
    </row>
    <row r="165" spans="1:6" s="26" customFormat="1" ht="16.5" customHeight="1">
      <c r="A165" s="59"/>
      <c r="B165" s="56"/>
      <c r="C165" s="114"/>
    </row>
    <row r="166" spans="1:6" ht="15.75">
      <c r="A166" s="1603" t="s">
        <v>440</v>
      </c>
      <c r="B166" s="1603"/>
      <c r="C166" s="1603"/>
      <c r="D166" s="1603"/>
      <c r="E166" s="1603"/>
      <c r="F166" s="1603"/>
    </row>
    <row r="167" spans="1:6" ht="15.75" thickBot="1">
      <c r="A167" s="1612"/>
      <c r="B167" s="1612"/>
      <c r="C167" s="2"/>
      <c r="F167" s="129" t="s">
        <v>106</v>
      </c>
    </row>
    <row r="168" spans="1:6" ht="29.25" thickBot="1">
      <c r="A168" s="101">
        <v>1</v>
      </c>
      <c r="B168" s="34" t="s">
        <v>441</v>
      </c>
      <c r="C168" s="333">
        <f>+C75-C142</f>
        <v>-199213</v>
      </c>
      <c r="D168" s="333">
        <f>+D75-D142</f>
        <v>-233935</v>
      </c>
      <c r="E168" s="333">
        <f>+E75-E142</f>
        <v>3859</v>
      </c>
      <c r="F168" s="1445">
        <f>+F75-F142</f>
        <v>-230076</v>
      </c>
    </row>
    <row r="169" spans="1:6" ht="15">
      <c r="A169" s="127"/>
      <c r="B169" s="127"/>
      <c r="C169" s="128"/>
    </row>
    <row r="170" spans="1:6" ht="15.75">
      <c r="A170" s="1613"/>
      <c r="B170" s="1613"/>
      <c r="C170" s="1613"/>
    </row>
    <row r="171" spans="1:6" ht="13.5">
      <c r="A171" s="1604"/>
      <c r="B171" s="1604"/>
      <c r="C171" s="129"/>
    </row>
    <row r="172" spans="1:6">
      <c r="A172" s="130"/>
      <c r="B172" s="131"/>
      <c r="C172" s="132"/>
    </row>
    <row r="173" spans="1:6">
      <c r="A173" s="130"/>
      <c r="B173" s="131"/>
      <c r="C173" s="132"/>
    </row>
    <row r="174" spans="1:6">
      <c r="A174" s="133"/>
      <c r="B174" s="134"/>
      <c r="C174" s="135"/>
    </row>
  </sheetData>
  <mergeCells count="10">
    <mergeCell ref="C3:F3"/>
    <mergeCell ref="A166:F166"/>
    <mergeCell ref="A167:B167"/>
    <mergeCell ref="A170:C170"/>
    <mergeCell ref="A171:B171"/>
    <mergeCell ref="A1:E1"/>
    <mergeCell ref="A2:D2"/>
    <mergeCell ref="A3:A4"/>
    <mergeCell ref="B3:B4"/>
    <mergeCell ref="A103:E10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3" orientation="portrait" horizontalDpi="300" verticalDpi="300" r:id="rId1"/>
  <headerFooter>
    <oddHeader>&amp;R&amp;"Times New Roman CE,Dőlt"&amp;12 1.3. melléklet a ..../2014.(...) önkormányzati rendelethez</oddHeader>
  </headerFooter>
  <rowBreaks count="1" manualBreakCount="1">
    <brk id="6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73"/>
  <sheetViews>
    <sheetView topLeftCell="A151" zoomScaleNormal="100" workbookViewId="0">
      <selection activeCell="F44" sqref="F44"/>
    </sheetView>
  </sheetViews>
  <sheetFormatPr defaultRowHeight="12.75"/>
  <cols>
    <col min="1" max="1" width="9.5" style="98" customWidth="1"/>
    <col min="2" max="2" width="78.5" style="99" customWidth="1"/>
    <col min="3" max="3" width="14.5" style="100" customWidth="1"/>
    <col min="4" max="4" width="13.83203125" style="2" customWidth="1"/>
    <col min="5" max="5" width="13.33203125" style="2" customWidth="1"/>
    <col min="6" max="6" width="13.83203125" style="2" customWidth="1"/>
    <col min="7" max="16384" width="9.33203125" style="2"/>
  </cols>
  <sheetData>
    <row r="1" spans="1:6" s="1" customFormat="1" ht="40.5" customHeight="1">
      <c r="A1" s="1596" t="s">
        <v>476</v>
      </c>
      <c r="B1" s="1596"/>
      <c r="C1" s="1596"/>
      <c r="D1" s="1596"/>
      <c r="E1" s="1596"/>
      <c r="F1" s="1596"/>
    </row>
    <row r="2" spans="1:6" s="5" customFormat="1" ht="20.25" customHeight="1" thickBot="1">
      <c r="A2" s="1614" t="s">
        <v>439</v>
      </c>
      <c r="B2" s="1614"/>
      <c r="C2" s="1615"/>
      <c r="D2" s="1615"/>
      <c r="F2" s="116" t="s">
        <v>106</v>
      </c>
    </row>
    <row r="3" spans="1:6" s="5" customFormat="1" ht="21" customHeight="1" thickBot="1">
      <c r="A3" s="1616" t="s">
        <v>59</v>
      </c>
      <c r="B3" s="1618" t="s">
        <v>0</v>
      </c>
      <c r="C3" s="1609" t="s">
        <v>245</v>
      </c>
      <c r="D3" s="1610"/>
      <c r="E3" s="1610"/>
      <c r="F3" s="1611"/>
    </row>
    <row r="4" spans="1:6" ht="31.5" customHeight="1" thickBot="1">
      <c r="A4" s="1617"/>
      <c r="B4" s="1625"/>
      <c r="C4" s="202" t="s">
        <v>104</v>
      </c>
      <c r="D4" s="203" t="s">
        <v>471</v>
      </c>
      <c r="E4" s="203" t="s">
        <v>618</v>
      </c>
      <c r="F4" s="203" t="s">
        <v>558</v>
      </c>
    </row>
    <row r="5" spans="1:6" s="3" customFormat="1" ht="12.95" customHeight="1" thickBot="1">
      <c r="A5" s="118">
        <v>1</v>
      </c>
      <c r="B5" s="347">
        <v>2</v>
      </c>
      <c r="C5" s="364">
        <v>3</v>
      </c>
      <c r="D5" s="363">
        <v>4</v>
      </c>
      <c r="E5" s="348">
        <v>5</v>
      </c>
      <c r="F5" s="941">
        <v>6</v>
      </c>
    </row>
    <row r="6" spans="1:6" s="102" customFormat="1" ht="16.5" customHeight="1" thickBot="1">
      <c r="A6" s="101" t="s">
        <v>71</v>
      </c>
      <c r="B6" s="60" t="s">
        <v>253</v>
      </c>
      <c r="C6" s="365">
        <f>+C7+C8+C9+C10+C11+C12</f>
        <v>202573</v>
      </c>
      <c r="D6" s="330">
        <f>+D7+D8+D9+D10+D11+D12</f>
        <v>208854</v>
      </c>
      <c r="E6" s="482">
        <f>+E7+E8+E9+E10+E11+E12</f>
        <v>272</v>
      </c>
      <c r="F6" s="482">
        <f>+F7+F8+F9+F10+F11+F12</f>
        <v>209126</v>
      </c>
    </row>
    <row r="7" spans="1:6" s="6" customFormat="1" ht="16.5" customHeight="1">
      <c r="A7" s="110" t="s">
        <v>18</v>
      </c>
      <c r="B7" s="208" t="s">
        <v>254</v>
      </c>
      <c r="C7" s="1543">
        <v>202573</v>
      </c>
      <c r="D7" s="1527">
        <v>202573</v>
      </c>
      <c r="E7" s="842"/>
      <c r="F7" s="1467">
        <f t="shared" ref="F7:F12" si="0">SUM(D7:E7)</f>
        <v>202573</v>
      </c>
    </row>
    <row r="8" spans="1:6" s="7" customFormat="1" ht="16.5" customHeight="1">
      <c r="A8" s="104" t="s">
        <v>19</v>
      </c>
      <c r="B8" s="137" t="s">
        <v>255</v>
      </c>
      <c r="C8" s="367"/>
      <c r="D8" s="339"/>
      <c r="E8" s="843"/>
      <c r="F8" s="1089">
        <f t="shared" si="0"/>
        <v>0</v>
      </c>
    </row>
    <row r="9" spans="1:6" s="7" customFormat="1" ht="16.5" customHeight="1">
      <c r="A9" s="104" t="s">
        <v>20</v>
      </c>
      <c r="B9" s="137" t="s">
        <v>100</v>
      </c>
      <c r="C9" s="367"/>
      <c r="D9" s="339"/>
      <c r="E9" s="843"/>
      <c r="F9" s="1089">
        <f t="shared" si="0"/>
        <v>0</v>
      </c>
    </row>
    <row r="10" spans="1:6" s="7" customFormat="1" ht="16.5" customHeight="1">
      <c r="A10" s="104" t="s">
        <v>21</v>
      </c>
      <c r="B10" s="137" t="s">
        <v>101</v>
      </c>
      <c r="C10" s="367"/>
      <c r="D10" s="339"/>
      <c r="E10" s="843"/>
      <c r="F10" s="1089">
        <f t="shared" si="0"/>
        <v>0</v>
      </c>
    </row>
    <row r="11" spans="1:6" s="7" customFormat="1" ht="16.5" customHeight="1">
      <c r="A11" s="104" t="s">
        <v>36</v>
      </c>
      <c r="B11" s="137" t="s">
        <v>256</v>
      </c>
      <c r="C11" s="367"/>
      <c r="D11" s="339"/>
      <c r="E11" s="843"/>
      <c r="F11" s="1089">
        <f t="shared" si="0"/>
        <v>0</v>
      </c>
    </row>
    <row r="12" spans="1:6" s="6" customFormat="1" ht="16.5" customHeight="1" thickBot="1">
      <c r="A12" s="209" t="s">
        <v>22</v>
      </c>
      <c r="B12" s="214" t="s">
        <v>257</v>
      </c>
      <c r="C12" s="1544"/>
      <c r="D12" s="1440">
        <v>6281</v>
      </c>
      <c r="E12" s="844">
        <v>272</v>
      </c>
      <c r="F12" s="1446">
        <f t="shared" si="0"/>
        <v>6553</v>
      </c>
    </row>
    <row r="13" spans="1:6" s="6" customFormat="1" ht="16.5" customHeight="1" thickBot="1">
      <c r="A13" s="101" t="s">
        <v>72</v>
      </c>
      <c r="B13" s="139" t="s">
        <v>258</v>
      </c>
      <c r="C13" s="365">
        <f>+C14+C15+C16+C17+C18</f>
        <v>0</v>
      </c>
      <c r="D13" s="333">
        <f>+D14+D15+D16+D17+D18</f>
        <v>0</v>
      </c>
      <c r="E13" s="845"/>
      <c r="F13" s="482"/>
    </row>
    <row r="14" spans="1:6" s="6" customFormat="1" ht="16.5" customHeight="1">
      <c r="A14" s="103" t="s">
        <v>24</v>
      </c>
      <c r="B14" s="136" t="s">
        <v>210</v>
      </c>
      <c r="C14" s="366"/>
      <c r="D14" s="215"/>
      <c r="E14" s="846"/>
      <c r="F14" s="873"/>
    </row>
    <row r="15" spans="1:6" s="6" customFormat="1" ht="16.5" customHeight="1">
      <c r="A15" s="104" t="s">
        <v>25</v>
      </c>
      <c r="B15" s="137" t="s">
        <v>259</v>
      </c>
      <c r="C15" s="367"/>
      <c r="D15" s="197"/>
      <c r="E15" s="847"/>
      <c r="F15" s="204"/>
    </row>
    <row r="16" spans="1:6" s="6" customFormat="1" ht="16.5" customHeight="1">
      <c r="A16" s="104" t="s">
        <v>26</v>
      </c>
      <c r="B16" s="137" t="s">
        <v>260</v>
      </c>
      <c r="C16" s="367"/>
      <c r="D16" s="197"/>
      <c r="E16" s="847"/>
      <c r="F16" s="204"/>
    </row>
    <row r="17" spans="1:6" s="6" customFormat="1" ht="16.5" customHeight="1">
      <c r="A17" s="104" t="s">
        <v>27</v>
      </c>
      <c r="B17" s="137" t="s">
        <v>261</v>
      </c>
      <c r="C17" s="367"/>
      <c r="D17" s="197"/>
      <c r="E17" s="847"/>
      <c r="F17" s="204"/>
    </row>
    <row r="18" spans="1:6" s="6" customFormat="1" ht="16.5" customHeight="1">
      <c r="A18" s="104" t="s">
        <v>28</v>
      </c>
      <c r="B18" s="137" t="s">
        <v>262</v>
      </c>
      <c r="C18" s="367">
        <f>SUM(C19:C23)</f>
        <v>0</v>
      </c>
      <c r="D18" s="186">
        <f>SUM(D19:D23)</f>
        <v>0</v>
      </c>
      <c r="E18" s="848"/>
      <c r="F18" s="582"/>
    </row>
    <row r="19" spans="1:6" s="7" customFormat="1" ht="16.5" customHeight="1">
      <c r="A19" s="104" t="s">
        <v>371</v>
      </c>
      <c r="B19" s="140" t="s">
        <v>370</v>
      </c>
      <c r="C19" s="368"/>
      <c r="D19" s="198"/>
      <c r="E19" s="849"/>
      <c r="F19" s="207"/>
    </row>
    <row r="20" spans="1:6" s="7" customFormat="1" ht="16.5" customHeight="1">
      <c r="A20" s="104" t="s">
        <v>372</v>
      </c>
      <c r="B20" s="140" t="s">
        <v>233</v>
      </c>
      <c r="C20" s="367"/>
      <c r="D20" s="198"/>
      <c r="E20" s="849"/>
      <c r="F20" s="207"/>
    </row>
    <row r="21" spans="1:6" s="7" customFormat="1" ht="16.5" customHeight="1">
      <c r="A21" s="104" t="s">
        <v>373</v>
      </c>
      <c r="B21" s="140" t="s">
        <v>234</v>
      </c>
      <c r="C21" s="367"/>
      <c r="D21" s="198"/>
      <c r="E21" s="849"/>
      <c r="F21" s="207"/>
    </row>
    <row r="22" spans="1:6" s="7" customFormat="1" ht="16.5" customHeight="1">
      <c r="A22" s="104" t="s">
        <v>374</v>
      </c>
      <c r="B22" s="140" t="s">
        <v>235</v>
      </c>
      <c r="C22" s="367"/>
      <c r="D22" s="198"/>
      <c r="E22" s="843"/>
      <c r="F22" s="207"/>
    </row>
    <row r="23" spans="1:6" s="7" customFormat="1" ht="16.5" customHeight="1" thickBot="1">
      <c r="A23" s="105" t="s">
        <v>375</v>
      </c>
      <c r="B23" s="141" t="s">
        <v>365</v>
      </c>
      <c r="C23" s="368"/>
      <c r="D23" s="219"/>
      <c r="E23" s="844"/>
      <c r="F23" s="875"/>
    </row>
    <row r="24" spans="1:6" s="7" customFormat="1" ht="28.5" customHeight="1" thickBot="1">
      <c r="A24" s="101" t="s">
        <v>73</v>
      </c>
      <c r="B24" s="60" t="s">
        <v>263</v>
      </c>
      <c r="C24" s="365">
        <f>+C25+C26+C27+C28+C29</f>
        <v>0</v>
      </c>
      <c r="D24" s="333">
        <f>+D25+D26+D27+D28+D29</f>
        <v>0</v>
      </c>
      <c r="E24" s="455"/>
      <c r="F24" s="482"/>
    </row>
    <row r="25" spans="1:6" s="7" customFormat="1" ht="16.5" customHeight="1">
      <c r="A25" s="103" t="s">
        <v>5</v>
      </c>
      <c r="B25" s="136" t="s">
        <v>264</v>
      </c>
      <c r="C25" s="366"/>
      <c r="D25" s="212"/>
      <c r="E25" s="850"/>
      <c r="F25" s="877"/>
    </row>
    <row r="26" spans="1:6" s="6" customFormat="1" ht="16.5" customHeight="1">
      <c r="A26" s="104" t="s">
        <v>6</v>
      </c>
      <c r="B26" s="137" t="s">
        <v>265</v>
      </c>
      <c r="C26" s="367"/>
      <c r="D26" s="197"/>
      <c r="E26" s="847"/>
      <c r="F26" s="204"/>
    </row>
    <row r="27" spans="1:6" s="7" customFormat="1" ht="16.5" customHeight="1">
      <c r="A27" s="104" t="s">
        <v>7</v>
      </c>
      <c r="B27" s="137" t="s">
        <v>266</v>
      </c>
      <c r="C27" s="367"/>
      <c r="D27" s="198"/>
      <c r="E27" s="849"/>
      <c r="F27" s="207"/>
    </row>
    <row r="28" spans="1:6" s="7" customFormat="1" ht="16.5" customHeight="1">
      <c r="A28" s="104" t="s">
        <v>8</v>
      </c>
      <c r="B28" s="137" t="s">
        <v>267</v>
      </c>
      <c r="C28" s="367"/>
      <c r="D28" s="198"/>
      <c r="E28" s="849"/>
      <c r="F28" s="207"/>
    </row>
    <row r="29" spans="1:6" s="7" customFormat="1" ht="16.5" customHeight="1">
      <c r="A29" s="104" t="s">
        <v>39</v>
      </c>
      <c r="B29" s="137" t="s">
        <v>268</v>
      </c>
      <c r="C29" s="367">
        <f>SUM(C30:C34)</f>
        <v>0</v>
      </c>
      <c r="D29" s="186">
        <f>SUM(D30:D34)</f>
        <v>0</v>
      </c>
      <c r="E29" s="848"/>
      <c r="F29" s="582"/>
    </row>
    <row r="30" spans="1:6" s="7" customFormat="1" ht="16.5" customHeight="1">
      <c r="A30" s="104" t="s">
        <v>376</v>
      </c>
      <c r="B30" s="140" t="s">
        <v>370</v>
      </c>
      <c r="C30" s="367"/>
      <c r="D30" s="198"/>
      <c r="E30" s="849"/>
      <c r="F30" s="207"/>
    </row>
    <row r="31" spans="1:6" s="7" customFormat="1" ht="16.5" customHeight="1">
      <c r="A31" s="104" t="s">
        <v>377</v>
      </c>
      <c r="B31" s="140" t="s">
        <v>233</v>
      </c>
      <c r="C31" s="367"/>
      <c r="D31" s="198"/>
      <c r="E31" s="849"/>
      <c r="F31" s="207"/>
    </row>
    <row r="32" spans="1:6" s="7" customFormat="1" ht="16.5" customHeight="1">
      <c r="A32" s="104" t="s">
        <v>378</v>
      </c>
      <c r="B32" s="140" t="s">
        <v>234</v>
      </c>
      <c r="C32" s="367"/>
      <c r="D32" s="198"/>
      <c r="E32" s="843"/>
      <c r="F32" s="207"/>
    </row>
    <row r="33" spans="1:6" s="7" customFormat="1" ht="16.5" customHeight="1">
      <c r="A33" s="104" t="s">
        <v>379</v>
      </c>
      <c r="B33" s="140" t="s">
        <v>235</v>
      </c>
      <c r="C33" s="367"/>
      <c r="D33" s="198"/>
      <c r="E33" s="843"/>
      <c r="F33" s="207"/>
    </row>
    <row r="34" spans="1:6" s="7" customFormat="1" ht="16.5" customHeight="1" thickBot="1">
      <c r="A34" s="105" t="s">
        <v>380</v>
      </c>
      <c r="B34" s="141" t="s">
        <v>365</v>
      </c>
      <c r="C34" s="369"/>
      <c r="D34" s="219"/>
      <c r="E34" s="722"/>
      <c r="F34" s="220"/>
    </row>
    <row r="35" spans="1:6" s="7" customFormat="1" ht="16.5" customHeight="1" thickBot="1">
      <c r="A35" s="101" t="s">
        <v>40</v>
      </c>
      <c r="B35" s="1429" t="s">
        <v>269</v>
      </c>
      <c r="C35" s="1430">
        <f>+C36+C41+C42+C43</f>
        <v>0</v>
      </c>
      <c r="D35" s="1430">
        <f>+D36+D41+D42+D43</f>
        <v>0</v>
      </c>
      <c r="E35" s="1430">
        <f>+E36+E41+E42+E43</f>
        <v>400</v>
      </c>
      <c r="F35" s="1431">
        <f>+F36+F41+F42+F43</f>
        <v>400</v>
      </c>
    </row>
    <row r="36" spans="1:6" s="7" customFormat="1" ht="16.5" customHeight="1">
      <c r="A36" s="103" t="s">
        <v>9</v>
      </c>
      <c r="B36" s="136" t="s">
        <v>270</v>
      </c>
      <c r="C36" s="371">
        <f>SUM(C37:C39)</f>
        <v>0</v>
      </c>
      <c r="D36" s="350">
        <f>SUM(D37:D39)</f>
        <v>0</v>
      </c>
      <c r="E36" s="1427"/>
      <c r="F36" s="1428"/>
    </row>
    <row r="37" spans="1:6" s="7" customFormat="1" ht="16.5" customHeight="1">
      <c r="A37" s="104" t="s">
        <v>271</v>
      </c>
      <c r="B37" s="142" t="s">
        <v>381</v>
      </c>
      <c r="C37" s="372"/>
      <c r="D37" s="198"/>
      <c r="E37" s="852"/>
      <c r="F37" s="207"/>
    </row>
    <row r="38" spans="1:6" s="7" customFormat="1" ht="16.5" customHeight="1">
      <c r="A38" s="104" t="s">
        <v>272</v>
      </c>
      <c r="B38" s="142" t="s">
        <v>382</v>
      </c>
      <c r="C38" s="372"/>
      <c r="D38" s="198"/>
      <c r="E38" s="852"/>
      <c r="F38" s="207"/>
    </row>
    <row r="39" spans="1:6" s="7" customFormat="1" ht="16.5" customHeight="1">
      <c r="A39" s="104" t="s">
        <v>383</v>
      </c>
      <c r="B39" s="142" t="s">
        <v>384</v>
      </c>
      <c r="C39" s="372"/>
      <c r="D39" s="198"/>
      <c r="E39" s="852"/>
      <c r="F39" s="207"/>
    </row>
    <row r="40" spans="1:6" s="7" customFormat="1" ht="16.5" customHeight="1">
      <c r="A40" s="104" t="s">
        <v>587</v>
      </c>
      <c r="B40" s="142" t="s">
        <v>591</v>
      </c>
      <c r="C40" s="372"/>
      <c r="D40" s="198"/>
      <c r="E40" s="852"/>
      <c r="F40" s="207"/>
    </row>
    <row r="41" spans="1:6" s="7" customFormat="1" ht="16.5" customHeight="1">
      <c r="A41" s="104" t="s">
        <v>10</v>
      </c>
      <c r="B41" s="137" t="s">
        <v>273</v>
      </c>
      <c r="C41" s="367"/>
      <c r="D41" s="198"/>
      <c r="E41" s="852"/>
      <c r="F41" s="207"/>
    </row>
    <row r="42" spans="1:6" s="7" customFormat="1" ht="16.5" customHeight="1">
      <c r="A42" s="104" t="s">
        <v>215</v>
      </c>
      <c r="B42" s="137" t="s">
        <v>385</v>
      </c>
      <c r="C42" s="367"/>
      <c r="D42" s="198"/>
      <c r="E42" s="852"/>
      <c r="F42" s="207"/>
    </row>
    <row r="43" spans="1:6" s="7" customFormat="1" ht="16.5" customHeight="1" thickBot="1">
      <c r="A43" s="105" t="s">
        <v>238</v>
      </c>
      <c r="B43" s="138" t="s">
        <v>386</v>
      </c>
      <c r="C43" s="368"/>
      <c r="D43" s="219"/>
      <c r="E43" s="853">
        <v>400</v>
      </c>
      <c r="F43" s="1099">
        <f>D43+E43</f>
        <v>400</v>
      </c>
    </row>
    <row r="44" spans="1:6" s="7" customFormat="1" ht="16.5" customHeight="1">
      <c r="A44" s="1420" t="s">
        <v>75</v>
      </c>
      <c r="B44" s="1421" t="s">
        <v>274</v>
      </c>
      <c r="C44" s="1422">
        <f>C45+C46+C50+C51+C52+C53+C54+C55+C56+C57</f>
        <v>3272</v>
      </c>
      <c r="D44" s="1422">
        <f>D45+D46+D50+D51+D52+D53+D54+D55+D56+D57</f>
        <v>5272</v>
      </c>
      <c r="E44" s="1422">
        <f>E45+E46+E50+E51+E52+E53+E54+E55+E56+E57</f>
        <v>600</v>
      </c>
      <c r="F44" s="1545">
        <f>F45+F46+F50+F51+F52+F53+F54+F55+F56+F57</f>
        <v>5872</v>
      </c>
    </row>
    <row r="45" spans="1:6" s="7" customFormat="1" ht="16.5" customHeight="1">
      <c r="A45" s="104" t="s">
        <v>11</v>
      </c>
      <c r="B45" s="1418" t="s">
        <v>199</v>
      </c>
      <c r="C45" s="1413"/>
      <c r="D45" s="1546"/>
      <c r="E45" s="1547"/>
      <c r="F45" s="1548"/>
    </row>
    <row r="46" spans="1:6" s="7" customFormat="1" ht="16.5" customHeight="1">
      <c r="A46" s="104" t="s">
        <v>12</v>
      </c>
      <c r="B46" s="1418" t="s">
        <v>200</v>
      </c>
      <c r="C46" s="1413">
        <f>SUM(C47:C49)</f>
        <v>400</v>
      </c>
      <c r="D46" s="1413">
        <f>SUM(D47:D49)</f>
        <v>0</v>
      </c>
      <c r="E46" s="1413">
        <f>SUM(E47:E49)</f>
        <v>0</v>
      </c>
      <c r="F46" s="1423">
        <f>SUM(F47:F49)</f>
        <v>0</v>
      </c>
    </row>
    <row r="47" spans="1:6" s="7" customFormat="1" ht="16.5" customHeight="1">
      <c r="A47" s="104" t="s">
        <v>387</v>
      </c>
      <c r="B47" s="93" t="s">
        <v>249</v>
      </c>
      <c r="C47" s="397">
        <v>400</v>
      </c>
      <c r="D47" s="1546"/>
      <c r="E47" s="1549"/>
      <c r="F47" s="1550"/>
    </row>
    <row r="48" spans="1:6" s="7" customFormat="1" ht="16.5" customHeight="1">
      <c r="A48" s="104" t="s">
        <v>388</v>
      </c>
      <c r="B48" s="93" t="s">
        <v>250</v>
      </c>
      <c r="C48" s="397"/>
      <c r="D48" s="1546"/>
      <c r="E48" s="785"/>
      <c r="F48" s="1550"/>
    </row>
    <row r="49" spans="1:6" s="7" customFormat="1" ht="16.5" customHeight="1">
      <c r="A49" s="104" t="s">
        <v>389</v>
      </c>
      <c r="B49" s="93" t="s">
        <v>251</v>
      </c>
      <c r="C49" s="397"/>
      <c r="D49" s="1546"/>
      <c r="E49" s="783"/>
      <c r="F49" s="1550"/>
    </row>
    <row r="50" spans="1:6" s="7" customFormat="1" ht="16.5" customHeight="1">
      <c r="A50" s="104" t="s">
        <v>13</v>
      </c>
      <c r="B50" s="1418" t="s">
        <v>201</v>
      </c>
      <c r="C50" s="1413">
        <v>1233</v>
      </c>
      <c r="D50" s="783">
        <v>3479</v>
      </c>
      <c r="E50" s="783">
        <v>472</v>
      </c>
      <c r="F50" s="1551">
        <f>SUM(D50:E50)</f>
        <v>3951</v>
      </c>
    </row>
    <row r="51" spans="1:6" s="7" customFormat="1" ht="16.5" customHeight="1">
      <c r="A51" s="104" t="s">
        <v>42</v>
      </c>
      <c r="B51" s="1418" t="s">
        <v>202</v>
      </c>
      <c r="C51" s="1413"/>
      <c r="D51" s="1546"/>
      <c r="E51" s="783"/>
      <c r="F51" s="1551"/>
    </row>
    <row r="52" spans="1:6" s="7" customFormat="1" ht="16.5" customHeight="1">
      <c r="A52" s="104" t="s">
        <v>43</v>
      </c>
      <c r="B52" s="1418" t="s">
        <v>203</v>
      </c>
      <c r="C52" s="1413"/>
      <c r="D52" s="1546"/>
      <c r="E52" s="783"/>
      <c r="F52" s="1551"/>
    </row>
    <row r="53" spans="1:6" s="7" customFormat="1" ht="16.5" customHeight="1">
      <c r="A53" s="104" t="s">
        <v>44</v>
      </c>
      <c r="B53" s="1418" t="s">
        <v>275</v>
      </c>
      <c r="C53" s="1413">
        <v>689</v>
      </c>
      <c r="D53" s="1546">
        <v>1103</v>
      </c>
      <c r="E53" s="783">
        <v>128</v>
      </c>
      <c r="F53" s="1551">
        <f>SUM(D53:E53)</f>
        <v>1231</v>
      </c>
    </row>
    <row r="54" spans="1:6" s="7" customFormat="1" ht="16.5" customHeight="1">
      <c r="A54" s="104" t="s">
        <v>45</v>
      </c>
      <c r="B54" s="1418" t="s">
        <v>276</v>
      </c>
      <c r="C54" s="1413"/>
      <c r="D54" s="1546"/>
      <c r="E54" s="783"/>
      <c r="F54" s="1551"/>
    </row>
    <row r="55" spans="1:6" s="7" customFormat="1" ht="16.5" customHeight="1">
      <c r="A55" s="104" t="s">
        <v>46</v>
      </c>
      <c r="B55" s="1418" t="s">
        <v>206</v>
      </c>
      <c r="C55" s="1413">
        <v>30</v>
      </c>
      <c r="D55" s="1546">
        <v>30</v>
      </c>
      <c r="E55" s="783"/>
      <c r="F55" s="1551">
        <f>SUM(D55:E55)</f>
        <v>30</v>
      </c>
    </row>
    <row r="56" spans="1:6" s="7" customFormat="1" ht="16.5" customHeight="1">
      <c r="A56" s="104" t="s">
        <v>99</v>
      </c>
      <c r="B56" s="1418" t="s">
        <v>207</v>
      </c>
      <c r="C56" s="1419"/>
      <c r="D56" s="1546"/>
      <c r="E56" s="783"/>
      <c r="F56" s="1551"/>
    </row>
    <row r="57" spans="1:6" s="7" customFormat="1" ht="16.5" customHeight="1" thickBot="1">
      <c r="A57" s="209" t="s">
        <v>277</v>
      </c>
      <c r="B57" s="1424" t="s">
        <v>208</v>
      </c>
      <c r="C57" s="1425">
        <v>920</v>
      </c>
      <c r="D57" s="1552">
        <v>660</v>
      </c>
      <c r="E57" s="1441"/>
      <c r="F57" s="1553">
        <f>SUM(D57:E57)</f>
        <v>660</v>
      </c>
    </row>
    <row r="58" spans="1:6" s="7" customFormat="1" ht="16.5" customHeight="1" thickBot="1">
      <c r="A58" s="211" t="s">
        <v>76</v>
      </c>
      <c r="B58" s="1078" t="s">
        <v>278</v>
      </c>
      <c r="C58" s="1414">
        <f>SUM(C59:C62)</f>
        <v>0</v>
      </c>
      <c r="D58" s="1415">
        <f>SUM(D59:D62)</f>
        <v>0</v>
      </c>
      <c r="E58" s="1416"/>
      <c r="F58" s="1417"/>
    </row>
    <row r="59" spans="1:6" s="7" customFormat="1" ht="16.5" customHeight="1">
      <c r="A59" s="103" t="s">
        <v>14</v>
      </c>
      <c r="B59" s="136" t="s">
        <v>217</v>
      </c>
      <c r="C59" s="374"/>
      <c r="D59" s="212"/>
      <c r="E59" s="842"/>
      <c r="F59" s="877"/>
    </row>
    <row r="60" spans="1:6" s="7" customFormat="1" ht="16.5" customHeight="1">
      <c r="A60" s="104" t="s">
        <v>15</v>
      </c>
      <c r="B60" s="137" t="s">
        <v>218</v>
      </c>
      <c r="C60" s="373"/>
      <c r="D60" s="198"/>
      <c r="E60" s="1024"/>
      <c r="F60" s="213"/>
    </row>
    <row r="61" spans="1:6" s="7" customFormat="1" ht="16.5" customHeight="1">
      <c r="A61" s="104" t="s">
        <v>279</v>
      </c>
      <c r="B61" s="137" t="s">
        <v>219</v>
      </c>
      <c r="C61" s="373"/>
      <c r="D61" s="198"/>
      <c r="E61" s="855"/>
      <c r="F61" s="213"/>
    </row>
    <row r="62" spans="1:6" s="7" customFormat="1" ht="16.5" customHeight="1">
      <c r="A62" s="104" t="s">
        <v>280</v>
      </c>
      <c r="B62" s="144" t="s">
        <v>120</v>
      </c>
      <c r="C62" s="373">
        <f>SUM(C63:C65)</f>
        <v>0</v>
      </c>
      <c r="D62" s="187">
        <f>SUM(D63:D65)</f>
        <v>0</v>
      </c>
      <c r="E62" s="849"/>
      <c r="F62" s="207"/>
    </row>
    <row r="63" spans="1:6" s="7" customFormat="1" ht="16.5" customHeight="1">
      <c r="A63" s="105" t="s">
        <v>392</v>
      </c>
      <c r="B63" s="143" t="s">
        <v>390</v>
      </c>
      <c r="C63" s="373"/>
      <c r="D63" s="198"/>
      <c r="E63" s="849"/>
      <c r="F63" s="207"/>
    </row>
    <row r="64" spans="1:6" s="7" customFormat="1" ht="16.5" customHeight="1">
      <c r="A64" s="105" t="s">
        <v>393</v>
      </c>
      <c r="B64" s="143" t="s">
        <v>391</v>
      </c>
      <c r="C64" s="373"/>
      <c r="D64" s="198"/>
      <c r="E64" s="856"/>
      <c r="F64" s="882"/>
    </row>
    <row r="65" spans="1:6" s="7" customFormat="1" ht="16.5" customHeight="1" thickBot="1">
      <c r="A65" s="105" t="s">
        <v>394</v>
      </c>
      <c r="B65" s="143" t="s">
        <v>395</v>
      </c>
      <c r="C65" s="375"/>
      <c r="D65" s="219"/>
      <c r="E65" s="853"/>
      <c r="F65" s="220"/>
    </row>
    <row r="66" spans="1:6" s="7" customFormat="1" ht="16.5" customHeight="1" thickBot="1">
      <c r="A66" s="101" t="s">
        <v>47</v>
      </c>
      <c r="B66" s="60" t="s">
        <v>281</v>
      </c>
      <c r="C66" s="365">
        <f>SUM(C67:C69)</f>
        <v>0</v>
      </c>
      <c r="D66" s="330">
        <f>SUM(D67:D69)</f>
        <v>0</v>
      </c>
      <c r="E66" s="999"/>
      <c r="F66" s="876"/>
    </row>
    <row r="67" spans="1:6" s="7" customFormat="1" ht="29.25" customHeight="1">
      <c r="A67" s="103" t="s">
        <v>16</v>
      </c>
      <c r="B67" s="136" t="s">
        <v>282</v>
      </c>
      <c r="C67" s="366"/>
      <c r="D67" s="212"/>
      <c r="E67" s="850"/>
      <c r="F67" s="877"/>
    </row>
    <row r="68" spans="1:6" s="7" customFormat="1" ht="28.5" customHeight="1">
      <c r="A68" s="104" t="s">
        <v>17</v>
      </c>
      <c r="B68" s="137" t="s">
        <v>283</v>
      </c>
      <c r="C68" s="367"/>
      <c r="D68" s="198"/>
      <c r="E68" s="1024"/>
      <c r="F68" s="1027"/>
    </row>
    <row r="69" spans="1:6" s="7" customFormat="1" ht="16.5" customHeight="1" thickBot="1">
      <c r="A69" s="104" t="s">
        <v>48</v>
      </c>
      <c r="B69" s="137" t="s">
        <v>284</v>
      </c>
      <c r="C69" s="367"/>
      <c r="D69" s="219"/>
      <c r="E69" s="1029"/>
      <c r="F69" s="1030"/>
    </row>
    <row r="70" spans="1:6" s="7" customFormat="1" ht="16.5" customHeight="1" thickBot="1">
      <c r="A70" s="101" t="s">
        <v>78</v>
      </c>
      <c r="B70" s="139" t="s">
        <v>285</v>
      </c>
      <c r="C70" s="365">
        <f>SUM(C71:C73)</f>
        <v>0</v>
      </c>
      <c r="D70" s="330">
        <f>SUM(D71:D73)</f>
        <v>0</v>
      </c>
      <c r="E70" s="999"/>
      <c r="F70" s="876"/>
    </row>
    <row r="71" spans="1:6" s="7" customFormat="1" ht="27" customHeight="1">
      <c r="A71" s="103" t="s">
        <v>49</v>
      </c>
      <c r="B71" s="136" t="s">
        <v>286</v>
      </c>
      <c r="C71" s="373"/>
      <c r="D71" s="212"/>
      <c r="E71" s="486"/>
      <c r="F71" s="213"/>
    </row>
    <row r="72" spans="1:6" s="7" customFormat="1" ht="24.75" customHeight="1">
      <c r="A72" s="104" t="s">
        <v>50</v>
      </c>
      <c r="B72" s="137" t="s">
        <v>408</v>
      </c>
      <c r="C72" s="373"/>
      <c r="D72" s="198"/>
      <c r="E72" s="1024"/>
      <c r="F72" s="1027"/>
    </row>
    <row r="73" spans="1:6" s="7" customFormat="1" ht="16.5" customHeight="1" thickBot="1">
      <c r="A73" s="104" t="s">
        <v>107</v>
      </c>
      <c r="B73" s="137" t="s">
        <v>287</v>
      </c>
      <c r="C73" s="1554"/>
      <c r="D73" s="219"/>
      <c r="E73" s="1029"/>
      <c r="F73" s="1030"/>
    </row>
    <row r="74" spans="1:6" s="7" customFormat="1" ht="21" customHeight="1" thickBot="1">
      <c r="A74" s="101" t="s">
        <v>79</v>
      </c>
      <c r="B74" s="60" t="s">
        <v>288</v>
      </c>
      <c r="C74" s="1556">
        <f>C6+C13+C24+C35+C44+C58+C66+C70</f>
        <v>205845</v>
      </c>
      <c r="D74" s="1430">
        <f>D6+D13+D24+D35+D44+D58+D66+D70</f>
        <v>214126</v>
      </c>
      <c r="E74" s="1430">
        <f>E6+E13+E24+E35+E44+E58+E66+E70</f>
        <v>1272</v>
      </c>
      <c r="F74" s="1431">
        <f>F6+F13+F24+F35+F44+F58+F66+F70</f>
        <v>215398</v>
      </c>
    </row>
    <row r="75" spans="1:6" s="7" customFormat="1" ht="16.5" customHeight="1" thickBot="1">
      <c r="A75" s="57" t="s">
        <v>289</v>
      </c>
      <c r="B75" s="139" t="s">
        <v>290</v>
      </c>
      <c r="C75" s="1414">
        <f>SUM(C76:C78)</f>
        <v>0</v>
      </c>
      <c r="D75" s="1555">
        <f>SUM(D76:D78)</f>
        <v>0</v>
      </c>
      <c r="E75" s="1456"/>
      <c r="F75" s="1417"/>
    </row>
    <row r="76" spans="1:6" s="7" customFormat="1" ht="16.5" customHeight="1">
      <c r="A76" s="103" t="s">
        <v>291</v>
      </c>
      <c r="B76" s="136" t="s">
        <v>292</v>
      </c>
      <c r="C76" s="373"/>
      <c r="D76" s="212"/>
      <c r="E76" s="1003"/>
      <c r="F76" s="1004"/>
    </row>
    <row r="77" spans="1:6" s="7" customFormat="1" ht="16.5" customHeight="1">
      <c r="A77" s="104" t="s">
        <v>293</v>
      </c>
      <c r="B77" s="137" t="s">
        <v>294</v>
      </c>
      <c r="C77" s="373"/>
      <c r="D77" s="198"/>
      <c r="E77" s="1024"/>
      <c r="F77" s="1027"/>
    </row>
    <row r="78" spans="1:6" s="7" customFormat="1" ht="16.5" customHeight="1" thickBot="1">
      <c r="A78" s="105" t="s">
        <v>295</v>
      </c>
      <c r="B78" s="145" t="s">
        <v>396</v>
      </c>
      <c r="C78" s="373"/>
      <c r="D78" s="219"/>
      <c r="E78" s="1029"/>
      <c r="F78" s="1030"/>
    </row>
    <row r="79" spans="1:6" s="7" customFormat="1" ht="16.5" customHeight="1" thickBot="1">
      <c r="A79" s="57" t="s">
        <v>296</v>
      </c>
      <c r="B79" s="139" t="s">
        <v>297</v>
      </c>
      <c r="C79" s="365">
        <f>SUM(C80:C83)</f>
        <v>0</v>
      </c>
      <c r="D79" s="333">
        <f>SUM(D80:D83)</f>
        <v>0</v>
      </c>
      <c r="E79" s="999"/>
      <c r="F79" s="876"/>
    </row>
    <row r="80" spans="1:6" s="7" customFormat="1" ht="16.5" customHeight="1">
      <c r="A80" s="103" t="s">
        <v>37</v>
      </c>
      <c r="B80" s="136" t="s">
        <v>298</v>
      </c>
      <c r="C80" s="373"/>
      <c r="D80" s="212"/>
      <c r="E80" s="850"/>
      <c r="F80" s="877"/>
    </row>
    <row r="81" spans="1:6" s="7" customFormat="1" ht="16.5" customHeight="1">
      <c r="A81" s="104" t="s">
        <v>38</v>
      </c>
      <c r="B81" s="137" t="s">
        <v>299</v>
      </c>
      <c r="C81" s="373"/>
      <c r="D81" s="198"/>
      <c r="E81" s="1024"/>
      <c r="F81" s="1027"/>
    </row>
    <row r="82" spans="1:6" s="7" customFormat="1" ht="16.5" customHeight="1">
      <c r="A82" s="104" t="s">
        <v>300</v>
      </c>
      <c r="B82" s="137" t="s">
        <v>301</v>
      </c>
      <c r="C82" s="373"/>
      <c r="D82" s="198"/>
      <c r="E82" s="855"/>
      <c r="F82" s="213"/>
    </row>
    <row r="83" spans="1:6" s="7" customFormat="1" ht="16.5" customHeight="1" thickBot="1">
      <c r="A83" s="105" t="s">
        <v>302</v>
      </c>
      <c r="B83" s="138" t="s">
        <v>303</v>
      </c>
      <c r="C83" s="373"/>
      <c r="D83" s="219"/>
      <c r="E83" s="853"/>
      <c r="F83" s="220"/>
    </row>
    <row r="84" spans="1:6" s="7" customFormat="1" ht="16.5" customHeight="1" thickBot="1">
      <c r="A84" s="57" t="s">
        <v>304</v>
      </c>
      <c r="B84" s="139" t="s">
        <v>305</v>
      </c>
      <c r="C84" s="365">
        <f>SUM(C85+C88)</f>
        <v>0</v>
      </c>
      <c r="D84" s="330">
        <f>SUM(D85+D88)</f>
        <v>14895</v>
      </c>
      <c r="E84" s="330">
        <f>SUM(E85+E88)</f>
        <v>0</v>
      </c>
      <c r="F84" s="1432">
        <f>SUM(F85+F88)</f>
        <v>14895</v>
      </c>
    </row>
    <row r="85" spans="1:6" s="7" customFormat="1" ht="16.5" customHeight="1">
      <c r="A85" s="103" t="s">
        <v>51</v>
      </c>
      <c r="B85" s="136" t="s">
        <v>306</v>
      </c>
      <c r="C85" s="640">
        <f>SUM(C86:C87)</f>
        <v>0</v>
      </c>
      <c r="D85" s="604">
        <f>SUM(D86:D87)</f>
        <v>14895</v>
      </c>
      <c r="E85" s="604">
        <f>SUM(E86:E87)</f>
        <v>0</v>
      </c>
      <c r="F85" s="1433">
        <f>SUM(F86:F87)</f>
        <v>14895</v>
      </c>
    </row>
    <row r="86" spans="1:6" s="7" customFormat="1" ht="16.5" customHeight="1">
      <c r="A86" s="104" t="s">
        <v>399</v>
      </c>
      <c r="B86" s="146" t="s">
        <v>397</v>
      </c>
      <c r="C86" s="641"/>
      <c r="D86" s="468">
        <v>14895</v>
      </c>
      <c r="E86" s="1024"/>
      <c r="F86" s="1027">
        <f>SUM(D86:E86)</f>
        <v>14895</v>
      </c>
    </row>
    <row r="87" spans="1:6" s="7" customFormat="1" ht="16.5" customHeight="1">
      <c r="A87" s="111" t="s">
        <v>400</v>
      </c>
      <c r="B87" s="146" t="s">
        <v>398</v>
      </c>
      <c r="C87" s="641"/>
      <c r="D87" s="468"/>
      <c r="E87" s="857"/>
      <c r="F87" s="755"/>
    </row>
    <row r="88" spans="1:6" s="7" customFormat="1" ht="16.5" customHeight="1" thickBot="1">
      <c r="A88" s="209" t="s">
        <v>52</v>
      </c>
      <c r="B88" s="214" t="s">
        <v>307</v>
      </c>
      <c r="C88" s="1434"/>
      <c r="D88" s="1435"/>
      <c r="E88" s="1436"/>
      <c r="F88" s="875"/>
    </row>
    <row r="89" spans="1:6" s="6" customFormat="1" ht="16.5" customHeight="1" thickBot="1">
      <c r="A89" s="57" t="s">
        <v>308</v>
      </c>
      <c r="B89" s="139" t="s">
        <v>309</v>
      </c>
      <c r="C89" s="365">
        <f>SUM(C90:C92)</f>
        <v>0</v>
      </c>
      <c r="D89" s="330">
        <f>SUM(D90:D92)</f>
        <v>0</v>
      </c>
      <c r="E89" s="1031"/>
      <c r="F89" s="876"/>
    </row>
    <row r="90" spans="1:6" s="7" customFormat="1" ht="16.5" customHeight="1">
      <c r="A90" s="103" t="s">
        <v>310</v>
      </c>
      <c r="B90" s="136" t="s">
        <v>311</v>
      </c>
      <c r="C90" s="373"/>
      <c r="D90" s="212"/>
      <c r="E90" s="850"/>
      <c r="F90" s="877"/>
    </row>
    <row r="91" spans="1:6" s="7" customFormat="1" ht="16.5" customHeight="1">
      <c r="A91" s="104" t="s">
        <v>312</v>
      </c>
      <c r="B91" s="137" t="s">
        <v>313</v>
      </c>
      <c r="C91" s="373"/>
      <c r="D91" s="198"/>
      <c r="E91" s="1024"/>
      <c r="F91" s="1027"/>
    </row>
    <row r="92" spans="1:6" s="7" customFormat="1" ht="16.5" customHeight="1" thickBot="1">
      <c r="A92" s="105" t="s">
        <v>314</v>
      </c>
      <c r="B92" s="138" t="s">
        <v>315</v>
      </c>
      <c r="C92" s="373"/>
      <c r="D92" s="219"/>
      <c r="E92" s="1029"/>
      <c r="F92" s="1030"/>
    </row>
    <row r="93" spans="1:6" s="7" customFormat="1" ht="16.5" customHeight="1" thickBot="1">
      <c r="A93" s="57" t="s">
        <v>316</v>
      </c>
      <c r="B93" s="139" t="s">
        <v>317</v>
      </c>
      <c r="C93" s="365">
        <f>SUM(C94:C97)</f>
        <v>0</v>
      </c>
      <c r="D93" s="330">
        <f>SUM(D94:D97)</f>
        <v>0</v>
      </c>
      <c r="E93" s="999"/>
      <c r="F93" s="876"/>
    </row>
    <row r="94" spans="1:6" s="7" customFormat="1" ht="16.5" customHeight="1">
      <c r="A94" s="106" t="s">
        <v>318</v>
      </c>
      <c r="B94" s="136" t="s">
        <v>319</v>
      </c>
      <c r="C94" s="373"/>
      <c r="D94" s="212"/>
      <c r="E94" s="850"/>
      <c r="F94" s="877"/>
    </row>
    <row r="95" spans="1:6" s="7" customFormat="1" ht="16.5" customHeight="1">
      <c r="A95" s="107" t="s">
        <v>320</v>
      </c>
      <c r="B95" s="137" t="s">
        <v>321</v>
      </c>
      <c r="C95" s="373"/>
      <c r="D95" s="198"/>
      <c r="E95" s="1024"/>
      <c r="F95" s="1027"/>
    </row>
    <row r="96" spans="1:6" s="7" customFormat="1" ht="16.5" customHeight="1">
      <c r="A96" s="107" t="s">
        <v>322</v>
      </c>
      <c r="B96" s="137" t="s">
        <v>323</v>
      </c>
      <c r="C96" s="373"/>
      <c r="D96" s="198"/>
      <c r="E96" s="855"/>
      <c r="F96" s="213"/>
    </row>
    <row r="97" spans="1:6" s="6" customFormat="1" ht="16.5" customHeight="1" thickBot="1">
      <c r="A97" s="108" t="s">
        <v>324</v>
      </c>
      <c r="B97" s="138" t="s">
        <v>325</v>
      </c>
      <c r="C97" s="373"/>
      <c r="D97" s="217"/>
      <c r="E97" s="853"/>
      <c r="F97" s="220"/>
    </row>
    <row r="98" spans="1:6" s="6" customFormat="1" ht="16.5" customHeight="1" thickBot="1">
      <c r="A98" s="57" t="s">
        <v>326</v>
      </c>
      <c r="B98" s="139" t="s">
        <v>327</v>
      </c>
      <c r="C98" s="376"/>
      <c r="D98" s="200"/>
      <c r="E98" s="999"/>
      <c r="F98" s="876"/>
    </row>
    <row r="99" spans="1:6" s="6" customFormat="1" ht="16.5" customHeight="1" thickBot="1">
      <c r="A99" s="57" t="s">
        <v>328</v>
      </c>
      <c r="B99" s="147" t="s">
        <v>329</v>
      </c>
      <c r="C99" s="370">
        <f>+C75+C79+C84+C89+C93+C98</f>
        <v>0</v>
      </c>
      <c r="D99" s="331">
        <f>+D75+D79+D84+D89+D93+D98</f>
        <v>14895</v>
      </c>
      <c r="E99" s="331">
        <f>+E75+E79+E84+E89+E93+E98</f>
        <v>0</v>
      </c>
      <c r="F99" s="1426">
        <f>+F75+F79+F84+F89+F93+F98</f>
        <v>14895</v>
      </c>
    </row>
    <row r="100" spans="1:6" s="6" customFormat="1" ht="19.5" customHeight="1" thickBot="1">
      <c r="A100" s="109" t="s">
        <v>330</v>
      </c>
      <c r="B100" s="148" t="s">
        <v>331</v>
      </c>
      <c r="C100" s="370">
        <f>+C74+C99</f>
        <v>205845</v>
      </c>
      <c r="D100" s="331">
        <f>+D74+D99</f>
        <v>229021</v>
      </c>
      <c r="E100" s="331">
        <f>+E74+E99</f>
        <v>1272</v>
      </c>
      <c r="F100" s="1426">
        <f>+F74+F99</f>
        <v>230293</v>
      </c>
    </row>
    <row r="101" spans="1:6" s="6" customFormat="1" ht="15.75" customHeight="1">
      <c r="A101" s="335"/>
      <c r="B101" s="336"/>
      <c r="C101" s="352"/>
    </row>
    <row r="102" spans="1:6" s="3" customFormat="1" ht="27" customHeight="1" thickBot="1">
      <c r="A102" s="1624" t="s">
        <v>2</v>
      </c>
      <c r="B102" s="1624"/>
      <c r="C102" s="1624"/>
      <c r="D102" s="1624"/>
      <c r="E102" s="1624"/>
      <c r="F102" s="1624"/>
    </row>
    <row r="103" spans="1:6" s="3" customFormat="1" ht="36" customHeight="1" thickBot="1">
      <c r="A103" s="37" t="s">
        <v>59</v>
      </c>
      <c r="B103" s="80" t="s">
        <v>0</v>
      </c>
      <c r="C103" s="202" t="s">
        <v>104</v>
      </c>
      <c r="D103" s="203" t="s">
        <v>471</v>
      </c>
      <c r="E103" s="918" t="s">
        <v>618</v>
      </c>
      <c r="F103" s="918" t="s">
        <v>558</v>
      </c>
    </row>
    <row r="104" spans="1:6" s="3" customFormat="1" ht="12" customHeight="1" thickBot="1">
      <c r="A104" s="118">
        <v>1</v>
      </c>
      <c r="B104" s="347">
        <v>2</v>
      </c>
      <c r="C104" s="362">
        <v>3</v>
      </c>
      <c r="D104" s="363">
        <v>4</v>
      </c>
      <c r="E104" s="9">
        <v>5</v>
      </c>
      <c r="F104" s="1008">
        <v>6</v>
      </c>
    </row>
    <row r="105" spans="1:6" s="6" customFormat="1" ht="16.5" customHeight="1" thickBot="1">
      <c r="A105" s="101" t="s">
        <v>71</v>
      </c>
      <c r="B105" s="149" t="s">
        <v>364</v>
      </c>
      <c r="C105" s="612">
        <f>SUM(C106:C110)</f>
        <v>296503</v>
      </c>
      <c r="D105" s="569">
        <f>SUM(D106:D110)</f>
        <v>312379</v>
      </c>
      <c r="E105" s="837">
        <f>SUM(E106:E110)</f>
        <v>1272</v>
      </c>
      <c r="F105" s="1437">
        <f>SUM(F106:F110)</f>
        <v>313651</v>
      </c>
    </row>
    <row r="106" spans="1:6" s="26" customFormat="1" ht="16.5" customHeight="1">
      <c r="A106" s="103" t="s">
        <v>18</v>
      </c>
      <c r="B106" s="159" t="s">
        <v>98</v>
      </c>
      <c r="C106" s="613">
        <v>170436</v>
      </c>
      <c r="D106" s="471">
        <v>175381</v>
      </c>
      <c r="E106" s="1011">
        <v>214</v>
      </c>
      <c r="F106" s="1086">
        <f>SUM(D106:E106)</f>
        <v>175595</v>
      </c>
    </row>
    <row r="107" spans="1:6" s="26" customFormat="1" ht="16.5" customHeight="1">
      <c r="A107" s="104" t="s">
        <v>19</v>
      </c>
      <c r="B107" s="151" t="s">
        <v>53</v>
      </c>
      <c r="C107" s="614">
        <v>48910</v>
      </c>
      <c r="D107" s="339">
        <v>50246</v>
      </c>
      <c r="E107" s="783">
        <v>58</v>
      </c>
      <c r="F107" s="1089">
        <f>SUM(D107:E107)</f>
        <v>50304</v>
      </c>
    </row>
    <row r="108" spans="1:6" s="26" customFormat="1" ht="16.5" customHeight="1">
      <c r="A108" s="104" t="s">
        <v>20</v>
      </c>
      <c r="B108" s="151" t="s">
        <v>35</v>
      </c>
      <c r="C108" s="614">
        <v>77157</v>
      </c>
      <c r="D108" s="339">
        <v>86752</v>
      </c>
      <c r="E108" s="783">
        <v>1000</v>
      </c>
      <c r="F108" s="1089">
        <f>SUM(D108:E108)</f>
        <v>87752</v>
      </c>
    </row>
    <row r="109" spans="1:6" s="26" customFormat="1" ht="16.5" customHeight="1">
      <c r="A109" s="104" t="s">
        <v>21</v>
      </c>
      <c r="B109" s="152" t="s">
        <v>54</v>
      </c>
      <c r="C109" s="618"/>
      <c r="D109" s="339"/>
      <c r="E109" s="783"/>
      <c r="F109" s="885"/>
    </row>
    <row r="110" spans="1:6" s="26" customFormat="1" ht="16.5" customHeight="1">
      <c r="A110" s="104" t="s">
        <v>29</v>
      </c>
      <c r="B110" s="35" t="s">
        <v>55</v>
      </c>
      <c r="C110" s="618">
        <f>SUM(C111:C118)</f>
        <v>0</v>
      </c>
      <c r="D110" s="644">
        <f>SUM(D111:D118)</f>
        <v>0</v>
      </c>
      <c r="E110" s="781">
        <f>SUM(E111:E118)</f>
        <v>0</v>
      </c>
      <c r="F110" s="885"/>
    </row>
    <row r="111" spans="1:6" s="26" customFormat="1" ht="16.5" customHeight="1">
      <c r="A111" s="104" t="s">
        <v>410</v>
      </c>
      <c r="B111" s="153" t="s">
        <v>409</v>
      </c>
      <c r="C111" s="618"/>
      <c r="D111" s="339"/>
      <c r="E111" s="783"/>
      <c r="F111" s="885"/>
    </row>
    <row r="112" spans="1:6" s="26" customFormat="1" ht="16.5" customHeight="1">
      <c r="A112" s="104" t="s">
        <v>411</v>
      </c>
      <c r="B112" s="154" t="s">
        <v>332</v>
      </c>
      <c r="C112" s="618"/>
      <c r="D112" s="339"/>
      <c r="E112" s="783"/>
      <c r="F112" s="885"/>
    </row>
    <row r="113" spans="1:6" s="26" customFormat="1" ht="16.5" customHeight="1">
      <c r="A113" s="104" t="s">
        <v>412</v>
      </c>
      <c r="B113" s="154" t="s">
        <v>333</v>
      </c>
      <c r="C113" s="618"/>
      <c r="D113" s="339"/>
      <c r="E113" s="783"/>
      <c r="F113" s="885"/>
    </row>
    <row r="114" spans="1:6" s="26" customFormat="1" ht="16.5" customHeight="1">
      <c r="A114" s="104" t="s">
        <v>413</v>
      </c>
      <c r="B114" s="155" t="s">
        <v>334</v>
      </c>
      <c r="C114" s="618"/>
      <c r="D114" s="339"/>
      <c r="E114" s="783"/>
      <c r="F114" s="885"/>
    </row>
    <row r="115" spans="1:6" s="26" customFormat="1" ht="16.5" customHeight="1">
      <c r="A115" s="104" t="s">
        <v>414</v>
      </c>
      <c r="B115" s="154" t="s">
        <v>335</v>
      </c>
      <c r="C115" s="618"/>
      <c r="D115" s="339"/>
      <c r="E115" s="783"/>
      <c r="F115" s="885"/>
    </row>
    <row r="116" spans="1:6" s="26" customFormat="1" ht="16.5" customHeight="1">
      <c r="A116" s="104" t="s">
        <v>415</v>
      </c>
      <c r="B116" s="156" t="s">
        <v>336</v>
      </c>
      <c r="C116" s="618"/>
      <c r="D116" s="339"/>
      <c r="E116" s="783"/>
      <c r="F116" s="885"/>
    </row>
    <row r="117" spans="1:6" s="26" customFormat="1" ht="16.5" customHeight="1">
      <c r="A117" s="104" t="s">
        <v>416</v>
      </c>
      <c r="B117" s="156" t="s">
        <v>337</v>
      </c>
      <c r="C117" s="618"/>
      <c r="D117" s="339"/>
      <c r="E117" s="783"/>
      <c r="F117" s="885"/>
    </row>
    <row r="118" spans="1:6" s="26" customFormat="1" ht="16.5" customHeight="1" thickBot="1">
      <c r="A118" s="105" t="s">
        <v>417</v>
      </c>
      <c r="B118" s="156" t="s">
        <v>338</v>
      </c>
      <c r="C118" s="619"/>
      <c r="D118" s="568"/>
      <c r="E118" s="788"/>
      <c r="F118" s="886"/>
    </row>
    <row r="119" spans="1:6" s="26" customFormat="1" ht="16.5" customHeight="1" thickBot="1">
      <c r="A119" s="101" t="s">
        <v>72</v>
      </c>
      <c r="B119" s="149" t="s">
        <v>418</v>
      </c>
      <c r="C119" s="612">
        <f>SUM(C120+C126+C127)</f>
        <v>0</v>
      </c>
      <c r="D119" s="569">
        <f>SUM(D120+D126+D127)</f>
        <v>7300</v>
      </c>
      <c r="E119" s="837">
        <f>SUM(E120+E126+E127)</f>
        <v>0</v>
      </c>
      <c r="F119" s="1437">
        <f>SUM(F120+F126+F127)</f>
        <v>7300</v>
      </c>
    </row>
    <row r="120" spans="1:6" s="26" customFormat="1" ht="16.5" customHeight="1">
      <c r="A120" s="103" t="s">
        <v>24</v>
      </c>
      <c r="B120" s="159" t="s">
        <v>108</v>
      </c>
      <c r="C120" s="613">
        <f>SUM(C121:C125)</f>
        <v>0</v>
      </c>
      <c r="D120" s="645">
        <f>SUM(D121:D125)</f>
        <v>7300</v>
      </c>
      <c r="E120" s="1010">
        <f>SUM(E121:E125)</f>
        <v>0</v>
      </c>
      <c r="F120" s="1438">
        <f>SUM(F121:F125)</f>
        <v>7300</v>
      </c>
    </row>
    <row r="121" spans="1:6" s="26" customFormat="1" ht="16.5" customHeight="1">
      <c r="A121" s="117" t="s">
        <v>401</v>
      </c>
      <c r="B121" s="361" t="s">
        <v>406</v>
      </c>
      <c r="C121" s="617"/>
      <c r="D121" s="339">
        <v>7300</v>
      </c>
      <c r="E121" s="783"/>
      <c r="F121" s="1089">
        <f>SUM(D121:E121)</f>
        <v>7300</v>
      </c>
    </row>
    <row r="122" spans="1:6" s="26" customFormat="1" ht="34.5" customHeight="1">
      <c r="A122" s="117" t="s">
        <v>402</v>
      </c>
      <c r="B122" s="361" t="s">
        <v>110</v>
      </c>
      <c r="C122" s="618"/>
      <c r="D122" s="339"/>
      <c r="E122" s="783"/>
      <c r="F122" s="885"/>
    </row>
    <row r="123" spans="1:6" s="26" customFormat="1" ht="34.5" customHeight="1">
      <c r="A123" s="117" t="s">
        <v>403</v>
      </c>
      <c r="B123" s="361" t="s">
        <v>118</v>
      </c>
      <c r="C123" s="618"/>
      <c r="D123" s="339"/>
      <c r="E123" s="783"/>
      <c r="F123" s="885"/>
    </row>
    <row r="124" spans="1:6" s="26" customFormat="1" ht="34.5" customHeight="1">
      <c r="A124" s="117" t="s">
        <v>404</v>
      </c>
      <c r="B124" s="361" t="s">
        <v>116</v>
      </c>
      <c r="C124" s="618"/>
      <c r="D124" s="339"/>
      <c r="E124" s="783"/>
      <c r="F124" s="885"/>
    </row>
    <row r="125" spans="1:6" s="26" customFormat="1" ht="43.5" customHeight="1">
      <c r="A125" s="117" t="s">
        <v>405</v>
      </c>
      <c r="B125" s="361" t="s">
        <v>124</v>
      </c>
      <c r="C125" s="618"/>
      <c r="D125" s="339"/>
      <c r="E125" s="783"/>
      <c r="F125" s="885"/>
    </row>
    <row r="126" spans="1:6" s="26" customFormat="1" ht="16.5" customHeight="1">
      <c r="A126" s="103" t="s">
        <v>25</v>
      </c>
      <c r="B126" s="157" t="s">
        <v>56</v>
      </c>
      <c r="C126" s="618"/>
      <c r="D126" s="339"/>
      <c r="E126" s="783"/>
      <c r="F126" s="885"/>
    </row>
    <row r="127" spans="1:6" s="26" customFormat="1" ht="16.5" customHeight="1">
      <c r="A127" s="103" t="s">
        <v>26</v>
      </c>
      <c r="B127" s="158" t="s">
        <v>109</v>
      </c>
      <c r="C127" s="618">
        <f>SUM(C128:C133)</f>
        <v>0</v>
      </c>
      <c r="D127" s="644">
        <f>SUM(D128:D133)</f>
        <v>0</v>
      </c>
      <c r="E127" s="785">
        <f>SUM(E128:E133)</f>
        <v>0</v>
      </c>
      <c r="F127" s="885"/>
    </row>
    <row r="128" spans="1:6" s="26" customFormat="1" ht="16.5" customHeight="1">
      <c r="A128" s="103" t="s">
        <v>366</v>
      </c>
      <c r="B128" s="159" t="s">
        <v>339</v>
      </c>
      <c r="C128" s="618"/>
      <c r="D128" s="339"/>
      <c r="E128" s="783"/>
      <c r="F128" s="885"/>
    </row>
    <row r="129" spans="1:6" s="26" customFormat="1" ht="16.5" customHeight="1">
      <c r="A129" s="103" t="s">
        <v>367</v>
      </c>
      <c r="B129" s="151" t="s">
        <v>333</v>
      </c>
      <c r="C129" s="618"/>
      <c r="D129" s="339"/>
      <c r="E129" s="783"/>
      <c r="F129" s="885"/>
    </row>
    <row r="130" spans="1:6" s="26" customFormat="1" ht="16.5" customHeight="1">
      <c r="A130" s="103" t="s">
        <v>368</v>
      </c>
      <c r="B130" s="151" t="s">
        <v>340</v>
      </c>
      <c r="C130" s="618"/>
      <c r="D130" s="339"/>
      <c r="E130" s="783"/>
      <c r="F130" s="885"/>
    </row>
    <row r="131" spans="1:6" s="26" customFormat="1" ht="18.75" customHeight="1">
      <c r="A131" s="103" t="s">
        <v>369</v>
      </c>
      <c r="B131" s="151" t="s">
        <v>407</v>
      </c>
      <c r="C131" s="618"/>
      <c r="D131" s="339"/>
      <c r="E131" s="783"/>
      <c r="F131" s="885"/>
    </row>
    <row r="132" spans="1:6" s="26" customFormat="1" ht="16.5" customHeight="1">
      <c r="A132" s="103" t="s">
        <v>419</v>
      </c>
      <c r="B132" s="151" t="s">
        <v>578</v>
      </c>
      <c r="C132" s="618"/>
      <c r="D132" s="339"/>
      <c r="E132" s="783"/>
      <c r="F132" s="885"/>
    </row>
    <row r="133" spans="1:6" s="26" customFormat="1" ht="16.5" customHeight="1" thickBot="1">
      <c r="A133" s="462" t="s">
        <v>420</v>
      </c>
      <c r="B133" s="464" t="s">
        <v>341</v>
      </c>
      <c r="C133" s="1439"/>
      <c r="D133" s="1440"/>
      <c r="E133" s="1441"/>
      <c r="F133" s="1442"/>
    </row>
    <row r="134" spans="1:6" s="26" customFormat="1" ht="16.5" customHeight="1" thickBot="1">
      <c r="A134" s="101" t="s">
        <v>73</v>
      </c>
      <c r="B134" s="62" t="s">
        <v>342</v>
      </c>
      <c r="C134" s="612">
        <f>SUM(C135+C138)</f>
        <v>0</v>
      </c>
      <c r="D134" s="590">
        <f>SUM(D135+D138)</f>
        <v>0</v>
      </c>
      <c r="E134" s="837">
        <f>SUM(E135+E138)</f>
        <v>0</v>
      </c>
      <c r="F134" s="883"/>
    </row>
    <row r="135" spans="1:6" s="26" customFormat="1" ht="16.5" customHeight="1">
      <c r="A135" s="103" t="s">
        <v>5</v>
      </c>
      <c r="B135" s="160" t="s">
        <v>421</v>
      </c>
      <c r="C135" s="613">
        <f>SUM(C136:C137)</f>
        <v>0</v>
      </c>
      <c r="D135" s="471"/>
      <c r="E135" s="1011">
        <f>SUM(E136:E137)</f>
        <v>0</v>
      </c>
      <c r="F135" s="884"/>
    </row>
    <row r="136" spans="1:6" s="26" customFormat="1" ht="16.5" customHeight="1">
      <c r="A136" s="104" t="s">
        <v>422</v>
      </c>
      <c r="B136" s="161" t="s">
        <v>424</v>
      </c>
      <c r="C136" s="617"/>
      <c r="D136" s="339"/>
      <c r="E136" s="791"/>
      <c r="F136" s="885"/>
    </row>
    <row r="137" spans="1:6" s="26" customFormat="1" ht="16.5" customHeight="1">
      <c r="A137" s="104" t="s">
        <v>423</v>
      </c>
      <c r="B137" s="161" t="s">
        <v>425</v>
      </c>
      <c r="C137" s="617"/>
      <c r="D137" s="339"/>
      <c r="E137" s="791"/>
      <c r="F137" s="885"/>
    </row>
    <row r="138" spans="1:6" s="26" customFormat="1" ht="16.5" customHeight="1">
      <c r="A138" s="104" t="s">
        <v>6</v>
      </c>
      <c r="B138" s="143" t="s">
        <v>426</v>
      </c>
      <c r="C138" s="614">
        <f>SUM(C139:C140)</f>
        <v>0</v>
      </c>
      <c r="D138" s="339"/>
      <c r="E138" s="783">
        <f>SUM(E139:E140)</f>
        <v>0</v>
      </c>
      <c r="F138" s="885"/>
    </row>
    <row r="139" spans="1:6" s="26" customFormat="1" ht="16.5" customHeight="1">
      <c r="A139" s="104" t="s">
        <v>427</v>
      </c>
      <c r="B139" s="161" t="s">
        <v>424</v>
      </c>
      <c r="C139" s="617"/>
      <c r="D139" s="339"/>
      <c r="E139" s="791"/>
      <c r="F139" s="885"/>
    </row>
    <row r="140" spans="1:6" s="26" customFormat="1" ht="16.5" customHeight="1" thickBot="1">
      <c r="A140" s="111" t="s">
        <v>428</v>
      </c>
      <c r="B140" s="342" t="s">
        <v>425</v>
      </c>
      <c r="C140" s="642"/>
      <c r="D140" s="568"/>
      <c r="E140" s="1013"/>
      <c r="F140" s="886"/>
    </row>
    <row r="141" spans="1:6" s="26" customFormat="1" ht="20.25" customHeight="1" thickBot="1">
      <c r="A141" s="101" t="s">
        <v>74</v>
      </c>
      <c r="B141" s="62" t="s">
        <v>343</v>
      </c>
      <c r="C141" s="639">
        <f>+C105+C119+C134</f>
        <v>296503</v>
      </c>
      <c r="D141" s="837">
        <f>+D105+D119+D134</f>
        <v>319679</v>
      </c>
      <c r="E141" s="837">
        <f>+E105+E119+E134</f>
        <v>1272</v>
      </c>
      <c r="F141" s="1437">
        <f>+F105+F119+F134</f>
        <v>320951</v>
      </c>
    </row>
    <row r="142" spans="1:6" s="26" customFormat="1" ht="16.5" customHeight="1" thickBot="1">
      <c r="A142" s="101" t="s">
        <v>75</v>
      </c>
      <c r="B142" s="62" t="s">
        <v>344</v>
      </c>
      <c r="C142" s="612">
        <f>+C143+C144+C145</f>
        <v>0</v>
      </c>
      <c r="D142" s="590">
        <f>+D143+D144+D145</f>
        <v>0</v>
      </c>
      <c r="E142" s="837">
        <f>+E143+E144+E145</f>
        <v>0</v>
      </c>
      <c r="F142" s="883"/>
    </row>
    <row r="143" spans="1:6" s="6" customFormat="1" ht="16.5" customHeight="1">
      <c r="A143" s="103" t="s">
        <v>11</v>
      </c>
      <c r="B143" s="159" t="s">
        <v>345</v>
      </c>
      <c r="C143" s="613"/>
      <c r="D143" s="472"/>
      <c r="E143" s="1014"/>
      <c r="F143" s="216"/>
    </row>
    <row r="144" spans="1:6" s="26" customFormat="1" ht="16.5" customHeight="1">
      <c r="A144" s="103" t="s">
        <v>12</v>
      </c>
      <c r="B144" s="159" t="s">
        <v>346</v>
      </c>
      <c r="C144" s="614"/>
      <c r="D144" s="339"/>
      <c r="E144" s="783"/>
      <c r="F144" s="885"/>
    </row>
    <row r="145" spans="1:10" s="26" customFormat="1" ht="16.5" customHeight="1" thickBot="1">
      <c r="A145" s="111" t="s">
        <v>13</v>
      </c>
      <c r="B145" s="162" t="s">
        <v>347</v>
      </c>
      <c r="C145" s="615"/>
      <c r="D145" s="568"/>
      <c r="E145" s="788"/>
      <c r="F145" s="886"/>
    </row>
    <row r="146" spans="1:10" s="26" customFormat="1" ht="16.5" customHeight="1" thickBot="1">
      <c r="A146" s="101" t="s">
        <v>76</v>
      </c>
      <c r="B146" s="62" t="s">
        <v>348</v>
      </c>
      <c r="C146" s="612">
        <f>+C147+C148+C149+C150</f>
        <v>0</v>
      </c>
      <c r="D146" s="590">
        <f>+D147+D148+D149+D150</f>
        <v>0</v>
      </c>
      <c r="E146" s="837">
        <f>+E147+E148+E149+E150</f>
        <v>0</v>
      </c>
      <c r="F146" s="883"/>
    </row>
    <row r="147" spans="1:10" s="26" customFormat="1" ht="16.5" customHeight="1">
      <c r="A147" s="103" t="s">
        <v>14</v>
      </c>
      <c r="B147" s="159" t="s">
        <v>349</v>
      </c>
      <c r="C147" s="613"/>
      <c r="D147" s="471"/>
      <c r="E147" s="1011"/>
      <c r="F147" s="884"/>
    </row>
    <row r="148" spans="1:10" s="26" customFormat="1" ht="16.5" customHeight="1">
      <c r="A148" s="103" t="s">
        <v>15</v>
      </c>
      <c r="B148" s="159" t="s">
        <v>350</v>
      </c>
      <c r="C148" s="614"/>
      <c r="D148" s="339"/>
      <c r="E148" s="783"/>
      <c r="F148" s="885"/>
    </row>
    <row r="149" spans="1:10" s="26" customFormat="1" ht="16.5" customHeight="1">
      <c r="A149" s="103" t="s">
        <v>279</v>
      </c>
      <c r="B149" s="159" t="s">
        <v>351</v>
      </c>
      <c r="C149" s="614"/>
      <c r="D149" s="339"/>
      <c r="E149" s="783"/>
      <c r="F149" s="885"/>
    </row>
    <row r="150" spans="1:10" s="6" customFormat="1" ht="16.5" customHeight="1" thickBot="1">
      <c r="A150" s="111" t="s">
        <v>280</v>
      </c>
      <c r="B150" s="162" t="s">
        <v>352</v>
      </c>
      <c r="C150" s="615"/>
      <c r="D150" s="473"/>
      <c r="E150" s="788"/>
      <c r="F150" s="218"/>
    </row>
    <row r="151" spans="1:10" s="26" customFormat="1" ht="16.5" customHeight="1" thickBot="1">
      <c r="A151" s="101" t="s">
        <v>77</v>
      </c>
      <c r="B151" s="62" t="s">
        <v>430</v>
      </c>
      <c r="C151" s="616">
        <f>SUM(C152:C156)</f>
        <v>0</v>
      </c>
      <c r="D151" s="595">
        <f>SUM(D152:D156)</f>
        <v>0</v>
      </c>
      <c r="E151" s="1017">
        <f>SUM(E152:E156)</f>
        <v>0</v>
      </c>
      <c r="F151" s="883"/>
      <c r="J151" s="112"/>
    </row>
    <row r="152" spans="1:10" s="26" customFormat="1" ht="16.5" customHeight="1">
      <c r="A152" s="103" t="s">
        <v>16</v>
      </c>
      <c r="B152" s="159" t="s">
        <v>353</v>
      </c>
      <c r="C152" s="613"/>
      <c r="D152" s="471"/>
      <c r="E152" s="1011"/>
      <c r="F152" s="884"/>
    </row>
    <row r="153" spans="1:10" s="26" customFormat="1" ht="16.5" customHeight="1">
      <c r="A153" s="117" t="s">
        <v>17</v>
      </c>
      <c r="B153" s="151" t="s">
        <v>354</v>
      </c>
      <c r="C153" s="614"/>
      <c r="D153" s="339"/>
      <c r="E153" s="783"/>
      <c r="F153" s="885"/>
    </row>
    <row r="154" spans="1:10" s="26" customFormat="1" ht="16.5" customHeight="1">
      <c r="A154" s="117" t="s">
        <v>48</v>
      </c>
      <c r="B154" s="151" t="s">
        <v>429</v>
      </c>
      <c r="C154" s="614"/>
      <c r="D154" s="339"/>
      <c r="E154" s="783"/>
      <c r="F154" s="885"/>
    </row>
    <row r="155" spans="1:10" s="6" customFormat="1" ht="16.5" customHeight="1">
      <c r="A155" s="117" t="s">
        <v>121</v>
      </c>
      <c r="B155" s="151" t="s">
        <v>355</v>
      </c>
      <c r="C155" s="614"/>
      <c r="D155" s="470"/>
      <c r="E155" s="792"/>
      <c r="F155" s="204"/>
    </row>
    <row r="156" spans="1:10" s="6" customFormat="1" ht="16.5" customHeight="1" thickBot="1">
      <c r="A156" s="111" t="s">
        <v>122</v>
      </c>
      <c r="B156" s="162" t="s">
        <v>356</v>
      </c>
      <c r="C156" s="615"/>
      <c r="D156" s="473"/>
      <c r="E156" s="1018"/>
      <c r="F156" s="218"/>
    </row>
    <row r="157" spans="1:10" s="6" customFormat="1" ht="16.5" customHeight="1" thickBot="1">
      <c r="A157" s="101" t="s">
        <v>78</v>
      </c>
      <c r="B157" s="62" t="s">
        <v>357</v>
      </c>
      <c r="C157" s="631">
        <f>+C158+C159+C160+C161</f>
        <v>0</v>
      </c>
      <c r="D157" s="643">
        <f>+D158+D159+D160+D161</f>
        <v>0</v>
      </c>
      <c r="E157" s="1019">
        <f>+E158+E159+E160+E161</f>
        <v>0</v>
      </c>
      <c r="F157" s="201"/>
    </row>
    <row r="158" spans="1:10" s="6" customFormat="1" ht="16.5" customHeight="1">
      <c r="A158" s="103" t="s">
        <v>49</v>
      </c>
      <c r="B158" s="159" t="s">
        <v>358</v>
      </c>
      <c r="C158" s="613"/>
      <c r="D158" s="472"/>
      <c r="E158" s="1014"/>
      <c r="F158" s="216"/>
    </row>
    <row r="159" spans="1:10" s="6" customFormat="1" ht="16.5" customHeight="1">
      <c r="A159" s="103" t="s">
        <v>50</v>
      </c>
      <c r="B159" s="159" t="s">
        <v>359</v>
      </c>
      <c r="C159" s="614"/>
      <c r="D159" s="470"/>
      <c r="E159" s="792"/>
      <c r="F159" s="204"/>
    </row>
    <row r="160" spans="1:10" s="6" customFormat="1" ht="16.5" customHeight="1">
      <c r="A160" s="103" t="s">
        <v>107</v>
      </c>
      <c r="B160" s="159" t="s">
        <v>360</v>
      </c>
      <c r="C160" s="614"/>
      <c r="D160" s="470"/>
      <c r="E160" s="792"/>
      <c r="F160" s="204"/>
    </row>
    <row r="161" spans="1:6" s="26" customFormat="1" ht="16.5" customHeight="1" thickBot="1">
      <c r="A161" s="111" t="s">
        <v>119</v>
      </c>
      <c r="B161" s="162" t="s">
        <v>361</v>
      </c>
      <c r="C161" s="615"/>
      <c r="D161" s="568"/>
      <c r="E161" s="788"/>
      <c r="F161" s="886"/>
    </row>
    <row r="162" spans="1:6" s="26" customFormat="1" ht="16.5" customHeight="1" thickBot="1">
      <c r="A162" s="101" t="s">
        <v>79</v>
      </c>
      <c r="B162" s="62" t="s">
        <v>362</v>
      </c>
      <c r="C162" s="633">
        <f>+C142+C146+C151+C157</f>
        <v>0</v>
      </c>
      <c r="D162" s="636">
        <f>+D142+D146+D151+D157</f>
        <v>0</v>
      </c>
      <c r="E162" s="1023">
        <f>+E142+E146+E151+E157</f>
        <v>0</v>
      </c>
      <c r="F162" s="883"/>
    </row>
    <row r="163" spans="1:6" s="26" customFormat="1" ht="22.5" customHeight="1" thickBot="1">
      <c r="A163" s="36" t="s">
        <v>80</v>
      </c>
      <c r="B163" s="139" t="s">
        <v>363</v>
      </c>
      <c r="C163" s="633">
        <f>+C141+C162</f>
        <v>296503</v>
      </c>
      <c r="D163" s="1443">
        <f>+D141+D162</f>
        <v>319679</v>
      </c>
      <c r="E163" s="1023">
        <f>+E141+E162</f>
        <v>1272</v>
      </c>
      <c r="F163" s="1444">
        <f>+F141+F162</f>
        <v>320951</v>
      </c>
    </row>
    <row r="164" spans="1:6" s="26" customFormat="1" ht="16.5" customHeight="1">
      <c r="A164" s="59"/>
      <c r="B164" s="56"/>
      <c r="C164" s="114"/>
    </row>
    <row r="165" spans="1:6" ht="15.75">
      <c r="A165" s="1603" t="s">
        <v>440</v>
      </c>
      <c r="B165" s="1603"/>
      <c r="C165" s="1603"/>
      <c r="D165" s="1603"/>
      <c r="E165" s="1603"/>
      <c r="F165" s="1603"/>
    </row>
    <row r="166" spans="1:6" ht="15.75" thickBot="1">
      <c r="A166" s="1612"/>
      <c r="B166" s="1612"/>
      <c r="F166" s="129" t="s">
        <v>106</v>
      </c>
    </row>
    <row r="167" spans="1:6" ht="29.25" thickBot="1">
      <c r="A167" s="101">
        <v>1</v>
      </c>
      <c r="B167" s="34" t="s">
        <v>441</v>
      </c>
      <c r="C167" s="333">
        <f>+C74-C141</f>
        <v>-90658</v>
      </c>
      <c r="D167" s="333">
        <f>+D74-D141</f>
        <v>-105553</v>
      </c>
      <c r="E167" s="333">
        <f>+E74-E141</f>
        <v>0</v>
      </c>
      <c r="F167" s="1445">
        <f>+F74-F141</f>
        <v>-105553</v>
      </c>
    </row>
    <row r="168" spans="1:6" ht="15">
      <c r="A168" s="127"/>
      <c r="B168" s="127"/>
      <c r="C168" s="128"/>
    </row>
    <row r="169" spans="1:6" ht="15.75">
      <c r="A169" s="1613"/>
      <c r="B169" s="1613"/>
      <c r="C169" s="1613"/>
    </row>
    <row r="170" spans="1:6" ht="13.5">
      <c r="A170" s="1604"/>
      <c r="B170" s="1604"/>
      <c r="C170" s="129"/>
    </row>
    <row r="171" spans="1:6">
      <c r="A171" s="130"/>
      <c r="B171" s="131"/>
      <c r="C171" s="132"/>
    </row>
    <row r="172" spans="1:6">
      <c r="A172" s="130"/>
      <c r="B172" s="131"/>
      <c r="C172" s="132"/>
    </row>
    <row r="173" spans="1:6">
      <c r="A173" s="133"/>
      <c r="B173" s="134"/>
      <c r="C173" s="135"/>
    </row>
  </sheetData>
  <mergeCells count="10">
    <mergeCell ref="A1:F1"/>
    <mergeCell ref="A165:F165"/>
    <mergeCell ref="A166:B166"/>
    <mergeCell ref="A169:C169"/>
    <mergeCell ref="A170:B170"/>
    <mergeCell ref="A2:D2"/>
    <mergeCell ref="A3:A4"/>
    <mergeCell ref="B3:B4"/>
    <mergeCell ref="C3:F3"/>
    <mergeCell ref="A102:F102"/>
  </mergeCells>
  <printOptions horizontalCentered="1"/>
  <pageMargins left="0.70866141732283472" right="0.70866141732283472" top="0.94488188976377963" bottom="0.74803149606299213" header="0.70866141732283472" footer="0.31496062992125984"/>
  <pageSetup paperSize="9" scale="62" orientation="portrait" horizontalDpi="300" verticalDpi="300" r:id="rId1"/>
  <headerFooter>
    <oddHeader>&amp;R&amp;"Times New Roman CE,Dőlt"&amp;12 1.4. melléklet a .../2014. (...) önkormányzati rendelethez</oddHeader>
  </headerFooter>
  <rowBreaks count="2" manualBreakCount="2">
    <brk id="65" max="5" man="1"/>
    <brk id="11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topLeftCell="E22" zoomScale="90" zoomScaleNormal="90" zoomScaleSheetLayoutView="100" workbookViewId="0">
      <selection activeCell="E10" sqref="E10"/>
    </sheetView>
  </sheetViews>
  <sheetFormatPr defaultRowHeight="12.75"/>
  <cols>
    <col min="1" max="1" width="8" style="417" customWidth="1"/>
    <col min="2" max="2" width="57.5" style="418" customWidth="1"/>
    <col min="3" max="6" width="17.5" style="417" customWidth="1"/>
    <col min="7" max="7" width="65" style="417" customWidth="1"/>
    <col min="8" max="10" width="16.5" style="417" customWidth="1"/>
    <col min="11" max="11" width="16.83203125" style="417" customWidth="1"/>
    <col min="12" max="16384" width="9.33203125" style="417"/>
  </cols>
  <sheetData>
    <row r="1" spans="1:11" ht="39.75" customHeight="1">
      <c r="A1" s="1631" t="s">
        <v>499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</row>
    <row r="2" spans="1:11" ht="13.5" thickBot="1">
      <c r="K2" s="116" t="s">
        <v>106</v>
      </c>
    </row>
    <row r="3" spans="1:11" ht="23.25" customHeight="1" thickBot="1">
      <c r="A3" s="1626" t="s">
        <v>500</v>
      </c>
      <c r="B3" s="1628" t="s">
        <v>1</v>
      </c>
      <c r="C3" s="1629"/>
      <c r="D3" s="1629"/>
      <c r="E3" s="1629"/>
      <c r="F3" s="1630"/>
      <c r="G3" s="1628" t="s">
        <v>2</v>
      </c>
      <c r="H3" s="1629"/>
      <c r="I3" s="1629"/>
      <c r="J3" s="1629"/>
      <c r="K3" s="1630"/>
    </row>
    <row r="4" spans="1:11" s="420" customFormat="1" ht="35.25" customHeight="1" thickBot="1">
      <c r="A4" s="1627"/>
      <c r="B4" s="419" t="s">
        <v>4</v>
      </c>
      <c r="C4" s="202" t="s">
        <v>104</v>
      </c>
      <c r="D4" s="203" t="s">
        <v>471</v>
      </c>
      <c r="E4" s="203" t="s">
        <v>618</v>
      </c>
      <c r="F4" s="1032" t="s">
        <v>558</v>
      </c>
      <c r="G4" s="419" t="s">
        <v>4</v>
      </c>
      <c r="H4" s="202" t="s">
        <v>104</v>
      </c>
      <c r="I4" s="203" t="s">
        <v>471</v>
      </c>
      <c r="J4" s="203" t="s">
        <v>618</v>
      </c>
      <c r="K4" s="203" t="s">
        <v>558</v>
      </c>
    </row>
    <row r="5" spans="1:11" s="421" customFormat="1" ht="17.25" customHeight="1" thickBot="1">
      <c r="A5" s="459">
        <v>1</v>
      </c>
      <c r="B5" s="460">
        <v>2</v>
      </c>
      <c r="C5" s="457">
        <v>3</v>
      </c>
      <c r="D5" s="457">
        <v>4</v>
      </c>
      <c r="E5" s="458">
        <v>5</v>
      </c>
      <c r="F5" s="1033">
        <v>6</v>
      </c>
      <c r="G5" s="1039">
        <v>7</v>
      </c>
      <c r="H5" s="1040">
        <v>8</v>
      </c>
      <c r="I5" s="1041">
        <v>9</v>
      </c>
      <c r="J5" s="1042">
        <v>10</v>
      </c>
      <c r="K5" s="1043">
        <v>11</v>
      </c>
    </row>
    <row r="6" spans="1:11" s="424" customFormat="1" ht="25.5" customHeight="1">
      <c r="A6" s="646" t="s">
        <v>71</v>
      </c>
      <c r="B6" s="422" t="s">
        <v>501</v>
      </c>
      <c r="C6" s="423">
        <f>'[11]1.1.sz.mell'!C7</f>
        <v>967659</v>
      </c>
      <c r="D6" s="423">
        <v>1196778</v>
      </c>
      <c r="E6" s="423">
        <f>'1.1.sz.mell'!E7</f>
        <v>4830</v>
      </c>
      <c r="F6" s="1392">
        <f t="shared" ref="F6:F11" si="0">D6+E6</f>
        <v>1201608</v>
      </c>
      <c r="G6" s="439" t="s">
        <v>502</v>
      </c>
      <c r="H6" s="1371">
        <f>'1.1.sz.mell'!C106</f>
        <v>797993</v>
      </c>
      <c r="I6" s="1371">
        <f>'1.1.sz.mell'!D106</f>
        <v>1067193</v>
      </c>
      <c r="J6" s="1371">
        <f>'1.1.sz.mell'!E106</f>
        <v>70946</v>
      </c>
      <c r="K6" s="1269">
        <f>I6+J6</f>
        <v>1138139</v>
      </c>
    </row>
    <row r="7" spans="1:11" s="424" customFormat="1" ht="25.5" customHeight="1">
      <c r="A7" s="647" t="s">
        <v>72</v>
      </c>
      <c r="B7" s="425" t="s">
        <v>503</v>
      </c>
      <c r="C7" s="377">
        <f>'[11]1.1.sz.mell'!C14</f>
        <v>346519</v>
      </c>
      <c r="D7" s="377">
        <v>617850</v>
      </c>
      <c r="E7" s="377">
        <f>'1.1.sz.mell'!E14</f>
        <v>163799</v>
      </c>
      <c r="F7" s="1393">
        <f t="shared" si="0"/>
        <v>781649</v>
      </c>
      <c r="G7" s="425" t="s">
        <v>53</v>
      </c>
      <c r="H7" s="1371">
        <f>'1.1.sz.mell'!C107</f>
        <v>226363</v>
      </c>
      <c r="I7" s="1371">
        <f>'1.1.sz.mell'!D107</f>
        <v>262574</v>
      </c>
      <c r="J7" s="1372">
        <f>'1.1.sz.mell'!E107</f>
        <v>10199</v>
      </c>
      <c r="K7" s="1269">
        <f t="shared" ref="K7:K14" si="1">I7+J7</f>
        <v>272773</v>
      </c>
    </row>
    <row r="8" spans="1:11" s="424" customFormat="1" ht="25.5" customHeight="1">
      <c r="A8" s="647" t="s">
        <v>73</v>
      </c>
      <c r="B8" s="425" t="s">
        <v>504</v>
      </c>
      <c r="C8" s="377">
        <f>'[11]1.1.sz.mell'!C24</f>
        <v>130064</v>
      </c>
      <c r="D8" s="377">
        <f>'[11]1.1.sz.mell'!D24</f>
        <v>133117</v>
      </c>
      <c r="E8" s="650">
        <f>'1.1.sz.mell'!E24</f>
        <v>57271</v>
      </c>
      <c r="F8" s="1393">
        <f t="shared" si="0"/>
        <v>190388</v>
      </c>
      <c r="G8" s="425" t="s">
        <v>505</v>
      </c>
      <c r="H8" s="1371">
        <f>'1.1.sz.mell'!C108</f>
        <v>1206164</v>
      </c>
      <c r="I8" s="1371">
        <f>'1.1.sz.mell'!D108</f>
        <v>1265916</v>
      </c>
      <c r="J8" s="1372">
        <f>'1.1.sz.mell'!E108</f>
        <v>79353</v>
      </c>
      <c r="K8" s="1269">
        <f t="shared" si="1"/>
        <v>1345269</v>
      </c>
    </row>
    <row r="9" spans="1:11" s="424" customFormat="1" ht="25.5" customHeight="1">
      <c r="A9" s="647" t="s">
        <v>74</v>
      </c>
      <c r="B9" s="425" t="s">
        <v>41</v>
      </c>
      <c r="C9" s="377">
        <f>'[11]1.1.sz.mell'!C36-'[11]1.1.sz.mell'!C38-'[11]1.1.sz.mell'!C39-100000</f>
        <v>715000</v>
      </c>
      <c r="D9" s="377">
        <v>715000</v>
      </c>
      <c r="E9" s="377">
        <f>'1.1.sz.mell'!E36-1540</f>
        <v>-95140</v>
      </c>
      <c r="F9" s="1393">
        <f t="shared" si="0"/>
        <v>619860</v>
      </c>
      <c r="G9" s="425" t="s">
        <v>54</v>
      </c>
      <c r="H9" s="1371">
        <f>'1.1.sz.mell'!C109</f>
        <v>103250</v>
      </c>
      <c r="I9" s="1371">
        <f>'1.1.sz.mell'!D109</f>
        <v>324750</v>
      </c>
      <c r="J9" s="1372">
        <f>'1.1.sz.mell'!E109</f>
        <v>38914</v>
      </c>
      <c r="K9" s="1269">
        <f t="shared" si="1"/>
        <v>363664</v>
      </c>
    </row>
    <row r="10" spans="1:11" s="424" customFormat="1" ht="31.5" customHeight="1">
      <c r="A10" s="647" t="s">
        <v>75</v>
      </c>
      <c r="B10" s="425" t="s">
        <v>506</v>
      </c>
      <c r="C10" s="377">
        <f>'[11]1.1.sz.mell'!C66</f>
        <v>0</v>
      </c>
      <c r="D10" s="377">
        <f>'1.1.sz.mell'!D68</f>
        <v>250</v>
      </c>
      <c r="E10" s="377">
        <f>'1.1.sz.mell'!E68</f>
        <v>0</v>
      </c>
      <c r="F10" s="1393">
        <f t="shared" si="0"/>
        <v>250</v>
      </c>
      <c r="G10" s="425" t="s">
        <v>55</v>
      </c>
      <c r="H10" s="1371">
        <f>'1.1.sz.mell'!C110</f>
        <v>257640</v>
      </c>
      <c r="I10" s="1371">
        <f>'1.1.sz.mell'!D110</f>
        <v>338689</v>
      </c>
      <c r="J10" s="1372">
        <f>'1.1.sz.mell'!E110</f>
        <v>-10819</v>
      </c>
      <c r="K10" s="1269">
        <f t="shared" si="1"/>
        <v>327870</v>
      </c>
    </row>
    <row r="11" spans="1:11" s="424" customFormat="1" ht="26.25" customHeight="1">
      <c r="A11" s="647" t="s">
        <v>76</v>
      </c>
      <c r="B11" s="425" t="s">
        <v>208</v>
      </c>
      <c r="C11" s="377">
        <f>'1.1.sz.mell'!C45</f>
        <v>432481</v>
      </c>
      <c r="D11" s="377">
        <f>'1.1.sz.mell'!D45</f>
        <v>436162</v>
      </c>
      <c r="E11" s="377">
        <f>'1.1.sz.mell'!E45</f>
        <v>15429</v>
      </c>
      <c r="F11" s="1391">
        <f t="shared" si="0"/>
        <v>451591</v>
      </c>
      <c r="G11" s="1037" t="s">
        <v>421</v>
      </c>
      <c r="H11" s="1394">
        <f>'1.1.sz.mell'!C135</f>
        <v>166825</v>
      </c>
      <c r="I11" s="1394">
        <f>'1.1.sz.mell'!D135</f>
        <v>248117</v>
      </c>
      <c r="J11" s="1394">
        <f>'1.1.sz.mell'!E135</f>
        <v>-98075</v>
      </c>
      <c r="K11" s="1269">
        <f t="shared" si="1"/>
        <v>150042</v>
      </c>
    </row>
    <row r="12" spans="1:11" s="424" customFormat="1" ht="26.25" customHeight="1">
      <c r="A12" s="647" t="s">
        <v>77</v>
      </c>
      <c r="B12" s="425"/>
      <c r="C12" s="377">
        <f>'[9]1.1.sz.mell'!C67</f>
        <v>0</v>
      </c>
      <c r="D12" s="377"/>
      <c r="E12" s="377"/>
      <c r="F12" s="1034"/>
      <c r="G12" s="1038" t="s">
        <v>424</v>
      </c>
      <c r="H12" s="1394">
        <f>'1.1.sz.mell'!C136</f>
        <v>100000</v>
      </c>
      <c r="I12" s="1394">
        <f>'1.1.sz.mell'!D136</f>
        <v>174078</v>
      </c>
      <c r="J12" s="1394">
        <f>'1.1.sz.mell'!E136</f>
        <v>-98203</v>
      </c>
      <c r="K12" s="1269">
        <f t="shared" si="1"/>
        <v>75875</v>
      </c>
    </row>
    <row r="13" spans="1:11" s="424" customFormat="1" ht="26.25" customHeight="1">
      <c r="A13" s="647" t="s">
        <v>78</v>
      </c>
      <c r="B13" s="425"/>
      <c r="C13" s="377"/>
      <c r="D13" s="377"/>
      <c r="E13" s="377"/>
      <c r="F13" s="1034"/>
      <c r="G13" s="1038" t="s">
        <v>425</v>
      </c>
      <c r="H13" s="1394">
        <f>'1.1.sz.mell'!C137</f>
        <v>66825</v>
      </c>
      <c r="I13" s="1394">
        <f>'1.1.sz.mell'!D137</f>
        <v>74039</v>
      </c>
      <c r="J13" s="1394">
        <f>'1.1.sz.mell'!E137</f>
        <v>128</v>
      </c>
      <c r="K13" s="1269">
        <f t="shared" si="1"/>
        <v>74167</v>
      </c>
    </row>
    <row r="14" spans="1:11" s="424" customFormat="1" ht="27" customHeight="1">
      <c r="A14" s="647" t="s">
        <v>79</v>
      </c>
      <c r="B14" s="428"/>
      <c r="C14" s="429"/>
      <c r="D14" s="430"/>
      <c r="E14" s="430"/>
      <c r="F14" s="1035"/>
      <c r="G14" s="431"/>
      <c r="H14" s="302"/>
      <c r="I14" s="1396"/>
      <c r="J14" s="1396"/>
      <c r="K14" s="1269">
        <f t="shared" si="1"/>
        <v>0</v>
      </c>
    </row>
    <row r="15" spans="1:11" s="424" customFormat="1" ht="27" customHeight="1">
      <c r="A15" s="647" t="s">
        <v>80</v>
      </c>
      <c r="B15" s="432"/>
      <c r="C15" s="429"/>
      <c r="D15" s="430"/>
      <c r="E15" s="430"/>
      <c r="F15" s="1035"/>
      <c r="G15" s="431"/>
      <c r="H15" s="302"/>
      <c r="I15" s="1396"/>
      <c r="J15" s="1396"/>
      <c r="K15" s="1176"/>
    </row>
    <row r="16" spans="1:11" s="424" customFormat="1" ht="27" customHeight="1">
      <c r="A16" s="647" t="s">
        <v>81</v>
      </c>
      <c r="B16" s="431"/>
      <c r="C16" s="429"/>
      <c r="D16" s="430"/>
      <c r="E16" s="430"/>
      <c r="F16" s="1035"/>
      <c r="G16" s="431"/>
      <c r="H16" s="302"/>
      <c r="I16" s="1396"/>
      <c r="J16" s="1396"/>
      <c r="K16" s="1176"/>
    </row>
    <row r="17" spans="1:11" s="424" customFormat="1" ht="27" customHeight="1" thickBot="1">
      <c r="A17" s="648" t="s">
        <v>82</v>
      </c>
      <c r="B17" s="433"/>
      <c r="C17" s="434"/>
      <c r="D17" s="435"/>
      <c r="E17" s="435"/>
      <c r="F17" s="1036"/>
      <c r="G17" s="1044"/>
      <c r="H17" s="1045"/>
      <c r="I17" s="1046"/>
      <c r="J17" s="1046"/>
      <c r="K17" s="1047"/>
    </row>
    <row r="18" spans="1:11" s="424" customFormat="1" ht="33" customHeight="1" thickBot="1">
      <c r="A18" s="649" t="s">
        <v>83</v>
      </c>
      <c r="B18" s="436" t="s">
        <v>507</v>
      </c>
      <c r="C18" s="437">
        <f>+C6+C7+C9+C10+C11+C12+C13+C14+C15+C16+C17</f>
        <v>2461659</v>
      </c>
      <c r="D18" s="437">
        <f>+D6+D7+D9+D10+D11+D12+D13+D14+D15+D16+D17</f>
        <v>2966040</v>
      </c>
      <c r="E18" s="437">
        <f>+E6+E7+E9+E10+E11+E12+E13+E14+E15+E16+E17</f>
        <v>88918</v>
      </c>
      <c r="F18" s="437">
        <f>+F6+F7+F9+F10+F11+F12+F13+F14+F15+F16+F17</f>
        <v>3054958</v>
      </c>
      <c r="G18" s="438" t="s">
        <v>508</v>
      </c>
      <c r="H18" s="378">
        <f>SUM(H6:H11)</f>
        <v>2758235</v>
      </c>
      <c r="I18" s="378">
        <f>SUM(I6:I11)</f>
        <v>3507239</v>
      </c>
      <c r="J18" s="380">
        <f>SUM(J6:J11)</f>
        <v>90518</v>
      </c>
      <c r="K18" s="379">
        <f>SUM(K6:K11)</f>
        <v>3597757</v>
      </c>
    </row>
    <row r="19" spans="1:11" s="424" customFormat="1" ht="27" customHeight="1">
      <c r="A19" s="1531" t="s">
        <v>84</v>
      </c>
      <c r="B19" s="1351" t="s">
        <v>609</v>
      </c>
      <c r="C19" s="1352">
        <f>SUM(C20:C23)</f>
        <v>335144</v>
      </c>
      <c r="D19" s="1352">
        <f>SUM(D20:D23)</f>
        <v>1037681</v>
      </c>
      <c r="E19" s="1352">
        <f>SUM(E20:E23)</f>
        <v>0</v>
      </c>
      <c r="F19" s="1356">
        <f>SUM(F20:F23)</f>
        <v>1037681</v>
      </c>
      <c r="G19" s="1535" t="s">
        <v>509</v>
      </c>
      <c r="H19" s="1389"/>
      <c r="I19" s="1390"/>
      <c r="J19" s="1390"/>
      <c r="K19" s="1378"/>
    </row>
    <row r="20" spans="1:11" s="424" customFormat="1" ht="27" customHeight="1">
      <c r="A20" s="1532" t="s">
        <v>85</v>
      </c>
      <c r="B20" s="425" t="s">
        <v>510</v>
      </c>
      <c r="C20" s="377">
        <f>'[11]1.1.sz.mell'!C86</f>
        <v>335144</v>
      </c>
      <c r="D20" s="377">
        <f>'[11]1.1.sz.mell'!D86</f>
        <v>587685</v>
      </c>
      <c r="E20" s="377"/>
      <c r="F20" s="1355">
        <f>D20+E20</f>
        <v>587685</v>
      </c>
      <c r="G20" s="1536" t="s">
        <v>511</v>
      </c>
      <c r="H20" s="427"/>
      <c r="I20" s="441"/>
      <c r="J20" s="441"/>
      <c r="K20" s="1366"/>
    </row>
    <row r="21" spans="1:11" s="424" customFormat="1" ht="27" customHeight="1">
      <c r="A21" s="1532" t="s">
        <v>86</v>
      </c>
      <c r="B21" s="425" t="s">
        <v>512</v>
      </c>
      <c r="C21" s="377"/>
      <c r="D21" s="426"/>
      <c r="E21" s="426"/>
      <c r="F21" s="1355">
        <f>D21+E21</f>
        <v>0</v>
      </c>
      <c r="G21" s="1536" t="s">
        <v>513</v>
      </c>
      <c r="H21" s="427"/>
      <c r="I21" s="441"/>
      <c r="J21" s="441"/>
      <c r="K21" s="1366"/>
    </row>
    <row r="22" spans="1:11" s="424" customFormat="1" ht="27" customHeight="1">
      <c r="A22" s="1532" t="s">
        <v>87</v>
      </c>
      <c r="B22" s="1403" t="s">
        <v>608</v>
      </c>
      <c r="C22" s="377"/>
      <c r="D22" s="426">
        <v>449996</v>
      </c>
      <c r="E22" s="426"/>
      <c r="F22" s="1355">
        <f>D22+E22</f>
        <v>449996</v>
      </c>
      <c r="G22" s="1536" t="s">
        <v>515</v>
      </c>
      <c r="H22" s="427"/>
      <c r="I22" s="441"/>
      <c r="J22" s="441"/>
      <c r="K22" s="1366"/>
    </row>
    <row r="23" spans="1:11" s="424" customFormat="1" ht="27" customHeight="1">
      <c r="A23" s="1532" t="s">
        <v>88</v>
      </c>
      <c r="B23" s="425" t="s">
        <v>514</v>
      </c>
      <c r="C23" s="377"/>
      <c r="D23" s="442"/>
      <c r="E23" s="442"/>
      <c r="F23" s="1353"/>
      <c r="G23" s="1537" t="s">
        <v>517</v>
      </c>
      <c r="H23" s="427"/>
      <c r="I23" s="441"/>
      <c r="J23" s="441"/>
      <c r="K23" s="1366"/>
    </row>
    <row r="24" spans="1:11" s="424" customFormat="1" ht="27" customHeight="1">
      <c r="A24" s="1532" t="s">
        <v>89</v>
      </c>
      <c r="B24" s="425" t="s">
        <v>516</v>
      </c>
      <c r="C24" s="443">
        <f>SUM(C25:C26)</f>
        <v>0</v>
      </c>
      <c r="D24" s="443">
        <f>SUM(D25:D26)</f>
        <v>0</v>
      </c>
      <c r="E24" s="443">
        <f>SUM(E25:E26)</f>
        <v>0</v>
      </c>
      <c r="F24" s="1354">
        <f>SUM(F25:F26)</f>
        <v>0</v>
      </c>
      <c r="G24" s="1536" t="s">
        <v>519</v>
      </c>
      <c r="H24" s="427"/>
      <c r="I24" s="377">
        <v>449996</v>
      </c>
      <c r="J24" s="441"/>
      <c r="K24" s="1366">
        <f>I24+J24</f>
        <v>449996</v>
      </c>
    </row>
    <row r="25" spans="1:11" s="424" customFormat="1" ht="27" customHeight="1">
      <c r="A25" s="1533" t="s">
        <v>90</v>
      </c>
      <c r="B25" s="425" t="s">
        <v>518</v>
      </c>
      <c r="C25" s="444">
        <f>SUM(C26:C27)</f>
        <v>0</v>
      </c>
      <c r="D25" s="444">
        <f>SUM(D26:D27)</f>
        <v>0</v>
      </c>
      <c r="E25" s="444">
        <f>SUM(E26:E27)</f>
        <v>0</v>
      </c>
      <c r="F25" s="1353"/>
      <c r="G25" s="1538" t="s">
        <v>521</v>
      </c>
      <c r="H25" s="440"/>
      <c r="I25" s="441"/>
      <c r="J25" s="441"/>
      <c r="K25" s="1366"/>
    </row>
    <row r="26" spans="1:11" s="424" customFormat="1" ht="27" customHeight="1">
      <c r="A26" s="1532" t="s">
        <v>91</v>
      </c>
      <c r="B26" s="425" t="s">
        <v>520</v>
      </c>
      <c r="C26" s="377"/>
      <c r="D26" s="377"/>
      <c r="E26" s="377"/>
      <c r="F26" s="1393">
        <f>D26+E26</f>
        <v>0</v>
      </c>
      <c r="G26" s="1539"/>
      <c r="H26" s="377"/>
      <c r="I26" s="441"/>
      <c r="J26" s="441"/>
      <c r="K26" s="1366"/>
    </row>
    <row r="27" spans="1:11" s="424" customFormat="1" ht="27" customHeight="1" thickBot="1">
      <c r="A27" s="1534" t="s">
        <v>92</v>
      </c>
      <c r="B27" s="1540" t="s">
        <v>552</v>
      </c>
      <c r="C27" s="1541"/>
      <c r="D27" s="1541"/>
      <c r="E27" s="1541"/>
      <c r="F27" s="1542">
        <f>D27+E27</f>
        <v>0</v>
      </c>
      <c r="G27" s="1407"/>
      <c r="H27" s="440"/>
      <c r="I27" s="1404"/>
      <c r="J27" s="1405"/>
      <c r="K27" s="1406"/>
    </row>
    <row r="28" spans="1:11" s="424" customFormat="1" ht="33" customHeight="1" thickBot="1">
      <c r="A28" s="1387" t="s">
        <v>93</v>
      </c>
      <c r="B28" s="438" t="s">
        <v>611</v>
      </c>
      <c r="C28" s="380">
        <f>+C19+C24</f>
        <v>335144</v>
      </c>
      <c r="D28" s="380">
        <f>+D19+D24</f>
        <v>1037681</v>
      </c>
      <c r="E28" s="380">
        <f>+E19+E24</f>
        <v>0</v>
      </c>
      <c r="F28" s="379">
        <f>+F19+F24</f>
        <v>1037681</v>
      </c>
      <c r="G28" s="438" t="s">
        <v>612</v>
      </c>
      <c r="H28" s="378">
        <f>SUM(H19:H26)</f>
        <v>0</v>
      </c>
      <c r="I28" s="378">
        <f>SUM(I19:I27)</f>
        <v>449996</v>
      </c>
      <c r="J28" s="378">
        <f>SUM(J19:J27)</f>
        <v>0</v>
      </c>
      <c r="K28" s="379">
        <f>SUM(K19:K27)</f>
        <v>449996</v>
      </c>
    </row>
    <row r="29" spans="1:11" s="424" customFormat="1" ht="27.75" customHeight="1" thickBot="1">
      <c r="A29" s="1387" t="s">
        <v>94</v>
      </c>
      <c r="B29" s="438" t="s">
        <v>610</v>
      </c>
      <c r="C29" s="380">
        <f>SUM(C18+C28)</f>
        <v>2796803</v>
      </c>
      <c r="D29" s="380">
        <f>SUM(D18+D28)</f>
        <v>4003721</v>
      </c>
      <c r="E29" s="380">
        <f>SUM(E18+E28)</f>
        <v>88918</v>
      </c>
      <c r="F29" s="380">
        <f>SUM(F18+F28)</f>
        <v>4092639</v>
      </c>
      <c r="G29" s="438" t="s">
        <v>613</v>
      </c>
      <c r="H29" s="378">
        <f>SUM(H18+H28)</f>
        <v>2758235</v>
      </c>
      <c r="I29" s="378">
        <f>SUM(I18+I28)</f>
        <v>3957235</v>
      </c>
      <c r="J29" s="380">
        <f>SUM(J18+J28)</f>
        <v>90518</v>
      </c>
      <c r="K29" s="379">
        <f>SUM(K18+K28)</f>
        <v>4047753</v>
      </c>
    </row>
    <row r="30" spans="1:11" s="424" customFormat="1" ht="27.75" customHeight="1" thickBot="1">
      <c r="A30" s="1387" t="s">
        <v>95</v>
      </c>
      <c r="B30" s="438" t="s">
        <v>522</v>
      </c>
      <c r="C30" s="289">
        <f>IF(C18-H18&lt;0,H18-C18,"-")</f>
        <v>296576</v>
      </c>
      <c r="D30" s="289">
        <f>IF(D18-I18&lt;0,I18-D18,"-")</f>
        <v>541199</v>
      </c>
      <c r="E30" s="289">
        <f>IF(E18-J18&lt;0,J18-E18,"-")</f>
        <v>1600</v>
      </c>
      <c r="F30" s="289">
        <f>IF(F18-K18&lt;0,K18-F18,"-")</f>
        <v>542799</v>
      </c>
      <c r="G30" s="438" t="s">
        <v>523</v>
      </c>
      <c r="H30" s="289" t="str">
        <f>IF(C14-H14&gt;0,C14-H14,"-")</f>
        <v>-</v>
      </c>
      <c r="I30" s="289" t="str">
        <f>IF(D14-I14&gt;0,D14-I14,"-")</f>
        <v>-</v>
      </c>
      <c r="J30" s="289" t="str">
        <f>IF(E14-J14&gt;0,E14-J14,"-")</f>
        <v>-</v>
      </c>
      <c r="K30" s="1388"/>
    </row>
    <row r="31" spans="1:11" s="424" customFormat="1" ht="27.75" customHeight="1" thickBot="1">
      <c r="A31" s="1387" t="s">
        <v>96</v>
      </c>
      <c r="B31" s="438" t="s">
        <v>524</v>
      </c>
      <c r="C31" s="289" t="str">
        <f>IF(C18+C19-H29&lt;0,H29-(C18+C19),"-")</f>
        <v>-</v>
      </c>
      <c r="D31" s="289" t="str">
        <f>IF(D18+D19-I29&lt;0,I29-(D18+D19),"-")</f>
        <v>-</v>
      </c>
      <c r="E31" s="289">
        <f>IF(E18+E19-J29&lt;0,J29-(E18+E19),"-")</f>
        <v>1600</v>
      </c>
      <c r="F31" s="289" t="str">
        <f>IF(F18+F19-K29&lt;0,K29-(F18+F19),"-")</f>
        <v>-</v>
      </c>
      <c r="G31" s="465" t="s">
        <v>525</v>
      </c>
      <c r="H31" s="289">
        <f>IF(C18+C19-H29&gt;0,C18+C19-H29,"-")</f>
        <v>38568</v>
      </c>
      <c r="I31" s="289">
        <f>IF(D18+D19-I29&gt;0,D18+D19-I29,"-")</f>
        <v>46486</v>
      </c>
      <c r="J31" s="289" t="str">
        <f>IF(E18+E19-J29&gt;0,E18+E19-J29,"-")</f>
        <v>-</v>
      </c>
      <c r="K31" s="290">
        <f>IF(F18+F19-K29&gt;0,F18+F19-K29,"-")</f>
        <v>44886</v>
      </c>
    </row>
    <row r="32" spans="1:11">
      <c r="C32" s="445"/>
      <c r="D32" s="445"/>
      <c r="E32" s="445"/>
      <c r="F32" s="445"/>
    </row>
  </sheetData>
  <mergeCells count="4">
    <mergeCell ref="A3:A4"/>
    <mergeCell ref="G3:K3"/>
    <mergeCell ref="A1:K1"/>
    <mergeCell ref="B3:F3"/>
  </mergeCells>
  <printOptions horizontalCentered="1"/>
  <pageMargins left="0.31496062992125984" right="0.27559055118110237" top="0.9055118110236221" bottom="0.51181102362204722" header="0.6692913385826772" footer="0.27559055118110237"/>
  <pageSetup paperSize="9" scale="58" orientation="landscape" r:id="rId1"/>
  <headerFooter alignWithMargins="0">
    <oddHeader xml:space="preserve">&amp;R&amp;"Times New Roman CE,Dőlt"&amp;11 2&amp;12.1. melléklet a .../2014. (..) önkormányzati rendelethez&amp;"Times New Roman CE,Félkövér dőlt"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topLeftCell="E10" zoomScaleNormal="100" zoomScaleSheetLayoutView="89" workbookViewId="0">
      <selection activeCell="E10" sqref="E10"/>
    </sheetView>
  </sheetViews>
  <sheetFormatPr defaultRowHeight="12.75"/>
  <cols>
    <col min="1" max="1" width="6" style="417" customWidth="1"/>
    <col min="2" max="2" width="71.6640625" style="418" customWidth="1"/>
    <col min="3" max="3" width="16.5" style="417" customWidth="1"/>
    <col min="4" max="6" width="15.33203125" style="417" customWidth="1"/>
    <col min="7" max="7" width="78.33203125" style="417" customWidth="1"/>
    <col min="8" max="8" width="16.6640625" style="417" customWidth="1"/>
    <col min="9" max="10" width="14" style="417" customWidth="1"/>
    <col min="11" max="11" width="14.83203125" style="417" customWidth="1"/>
    <col min="12" max="16384" width="9.33203125" style="417"/>
  </cols>
  <sheetData>
    <row r="1" spans="1:11" ht="39.75" customHeight="1">
      <c r="A1" s="1631" t="s">
        <v>526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</row>
    <row r="2" spans="1:11" ht="13.5" thickBot="1">
      <c r="K2" s="116" t="s">
        <v>106</v>
      </c>
    </row>
    <row r="3" spans="1:11" ht="21" customHeight="1" thickBot="1">
      <c r="A3" s="1632" t="s">
        <v>500</v>
      </c>
      <c r="B3" s="1634" t="s">
        <v>1</v>
      </c>
      <c r="C3" s="1635"/>
      <c r="D3" s="1635"/>
      <c r="E3" s="1635"/>
      <c r="F3" s="1635"/>
      <c r="G3" s="1636" t="s">
        <v>2</v>
      </c>
      <c r="H3" s="1637"/>
      <c r="I3" s="1637"/>
      <c r="J3" s="1637"/>
      <c r="K3" s="1638"/>
    </row>
    <row r="4" spans="1:11" s="420" customFormat="1" ht="39.75" customHeight="1" thickBot="1">
      <c r="A4" s="1633"/>
      <c r="B4" s="1052" t="s">
        <v>4</v>
      </c>
      <c r="C4" s="1053" t="s">
        <v>104</v>
      </c>
      <c r="D4" s="979" t="s">
        <v>471</v>
      </c>
      <c r="E4" s="979" t="s">
        <v>618</v>
      </c>
      <c r="F4" s="1054" t="s">
        <v>558</v>
      </c>
      <c r="G4" s="101" t="s">
        <v>4</v>
      </c>
      <c r="H4" s="202" t="s">
        <v>104</v>
      </c>
      <c r="I4" s="203" t="s">
        <v>471</v>
      </c>
      <c r="J4" s="1065" t="s">
        <v>618</v>
      </c>
      <c r="K4" s="1007" t="s">
        <v>558</v>
      </c>
    </row>
    <row r="5" spans="1:11" s="420" customFormat="1" ht="13.5" thickBot="1">
      <c r="A5" s="1048">
        <v>1</v>
      </c>
      <c r="B5" s="446">
        <v>2</v>
      </c>
      <c r="C5" s="447">
        <v>3</v>
      </c>
      <c r="D5" s="447">
        <v>4</v>
      </c>
      <c r="E5" s="447">
        <v>5</v>
      </c>
      <c r="F5" s="448">
        <v>6</v>
      </c>
      <c r="G5" s="446">
        <v>7</v>
      </c>
      <c r="H5" s="447">
        <v>8</v>
      </c>
      <c r="I5" s="447">
        <v>9</v>
      </c>
      <c r="J5" s="448">
        <v>10</v>
      </c>
      <c r="K5" s="1516">
        <v>11</v>
      </c>
    </row>
    <row r="6" spans="1:11" ht="25.5" customHeight="1">
      <c r="A6" s="1049" t="s">
        <v>71</v>
      </c>
      <c r="B6" s="1055" t="s">
        <v>527</v>
      </c>
      <c r="C6" s="1371">
        <f>'[11]1.1.sz.mell'!C25</f>
        <v>425653</v>
      </c>
      <c r="D6" s="1371">
        <f>'1.1.sz.mell'!D25</f>
        <v>565747</v>
      </c>
      <c r="E6" s="1371">
        <f>'1.1.sz.mell'!E25</f>
        <v>-57061</v>
      </c>
      <c r="F6" s="1518">
        <f>SUM(D6:E6)</f>
        <v>508686</v>
      </c>
      <c r="G6" s="1066" t="s">
        <v>108</v>
      </c>
      <c r="H6" s="1377">
        <f>'1.1.sz.mell'!C120</f>
        <v>1086539</v>
      </c>
      <c r="I6" s="1377">
        <f>'1.1.sz.mell'!D120</f>
        <v>1163507</v>
      </c>
      <c r="J6" s="1377">
        <f>'1.1.sz.mell'!E120</f>
        <v>-83225</v>
      </c>
      <c r="K6" s="1517">
        <f>'1.1.sz.mell'!F120</f>
        <v>1080282</v>
      </c>
    </row>
    <row r="7" spans="1:11" ht="30" customHeight="1">
      <c r="A7" s="651" t="s">
        <v>72</v>
      </c>
      <c r="B7" s="466" t="s">
        <v>528</v>
      </c>
      <c r="C7" s="1395"/>
      <c r="D7" s="1395">
        <f>'1.1.sz.mell'!D26</f>
        <v>122290</v>
      </c>
      <c r="E7" s="1395">
        <f>'1.1.sz.mell'!E26</f>
        <v>-240</v>
      </c>
      <c r="F7" s="1519">
        <f t="shared" ref="F7:F22" si="0">SUM(D7:E7)</f>
        <v>122050</v>
      </c>
      <c r="G7" s="1067" t="s">
        <v>406</v>
      </c>
      <c r="H7" s="1372">
        <f>'1.1.sz.mell'!C121</f>
        <v>551859</v>
      </c>
      <c r="I7" s="1372">
        <f>'1.1.sz.mell'!D121</f>
        <v>564026</v>
      </c>
      <c r="J7" s="1372">
        <f>'1.1.sz.mell'!E121</f>
        <v>-22241</v>
      </c>
      <c r="K7" s="1285">
        <f t="shared" ref="K7:K16" si="1">I7+J7</f>
        <v>541785</v>
      </c>
    </row>
    <row r="8" spans="1:11" ht="30" customHeight="1">
      <c r="A8" s="651" t="s">
        <v>73</v>
      </c>
      <c r="B8" s="466" t="s">
        <v>529</v>
      </c>
      <c r="C8" s="1395">
        <f>'[11]1.1.sz.mell'!C35</f>
        <v>391653</v>
      </c>
      <c r="D8" s="1395">
        <f>'1.1.sz.mell'!D35</f>
        <v>392281</v>
      </c>
      <c r="E8" s="1395">
        <f>'1.1.sz.mell'!E35</f>
        <v>-57271</v>
      </c>
      <c r="F8" s="1519">
        <f t="shared" si="0"/>
        <v>335010</v>
      </c>
      <c r="G8" s="1067" t="s">
        <v>110</v>
      </c>
      <c r="H8" s="1372">
        <f>'1.1.sz.mell'!C122</f>
        <v>391653</v>
      </c>
      <c r="I8" s="1372">
        <f>'1.1.sz.mell'!D122</f>
        <v>392281</v>
      </c>
      <c r="J8" s="1372">
        <f>'1.1.sz.mell'!E122</f>
        <v>-57271</v>
      </c>
      <c r="K8" s="1285">
        <f t="shared" si="1"/>
        <v>335010</v>
      </c>
    </row>
    <row r="9" spans="1:11" ht="30" customHeight="1">
      <c r="A9" s="651" t="s">
        <v>74</v>
      </c>
      <c r="B9" s="466" t="s">
        <v>530</v>
      </c>
      <c r="C9" s="1395">
        <f>'[11]1.1.sz.mell'!C34</f>
        <v>34000</v>
      </c>
      <c r="D9" s="1395">
        <f>'1.1.sz.mell'!D32+'1.1.sz.mell'!D34</f>
        <v>51176</v>
      </c>
      <c r="E9" s="1395">
        <f>'1.1.sz.mell'!E34</f>
        <v>450</v>
      </c>
      <c r="F9" s="1518">
        <f t="shared" si="0"/>
        <v>51626</v>
      </c>
      <c r="G9" s="1067" t="s">
        <v>118</v>
      </c>
      <c r="H9" s="1372">
        <f>'1.1.sz.mell'!C123</f>
        <v>94827</v>
      </c>
      <c r="I9" s="1372">
        <f>'1.1.sz.mell'!D123</f>
        <v>145528</v>
      </c>
      <c r="J9" s="1372">
        <f>'1.1.sz.mell'!E123</f>
        <v>-4135</v>
      </c>
      <c r="K9" s="1285">
        <f t="shared" si="1"/>
        <v>141393</v>
      </c>
    </row>
    <row r="10" spans="1:11" ht="30" customHeight="1">
      <c r="A10" s="651" t="s">
        <v>75</v>
      </c>
      <c r="B10" s="449" t="s">
        <v>531</v>
      </c>
      <c r="C10" s="1372">
        <f>'1.1.sz.mell'!C72</f>
        <v>4000</v>
      </c>
      <c r="D10" s="1372">
        <f>'1.1.sz.mell'!D72</f>
        <v>16442</v>
      </c>
      <c r="E10" s="1372">
        <f>'1.1.sz.mell'!E72</f>
        <v>2051</v>
      </c>
      <c r="F10" s="1372">
        <f>'1.1.sz.mell'!F72</f>
        <v>18493</v>
      </c>
      <c r="G10" s="1067" t="s">
        <v>116</v>
      </c>
      <c r="H10" s="1372">
        <f>'1.1.sz.mell'!C124</f>
        <v>34000</v>
      </c>
      <c r="I10" s="1372">
        <f>'1.1.sz.mell'!D124</f>
        <v>46002</v>
      </c>
      <c r="J10" s="1372">
        <f>'1.1.sz.mell'!E124</f>
        <v>450</v>
      </c>
      <c r="K10" s="1285">
        <f t="shared" si="1"/>
        <v>46452</v>
      </c>
    </row>
    <row r="11" spans="1:11" ht="43.5" customHeight="1">
      <c r="A11" s="651" t="s">
        <v>76</v>
      </c>
      <c r="B11" s="450" t="s">
        <v>532</v>
      </c>
      <c r="C11" s="1372">
        <f>'1.1.sz.mell'!C39</f>
        <v>75000</v>
      </c>
      <c r="D11" s="1372">
        <f>'1.1.sz.mell'!D39</f>
        <v>75000</v>
      </c>
      <c r="E11" s="1372">
        <f>'1.1.sz.mell'!E39</f>
        <v>0</v>
      </c>
      <c r="F11" s="1372">
        <f>'1.1.sz.mell'!F39</f>
        <v>75000</v>
      </c>
      <c r="G11" s="1067" t="s">
        <v>124</v>
      </c>
      <c r="H11" s="1372">
        <f>'1.1.sz.mell'!C125</f>
        <v>14200</v>
      </c>
      <c r="I11" s="1372">
        <f>'1.1.sz.mell'!D125</f>
        <v>15670</v>
      </c>
      <c r="J11" s="1372">
        <f>'1.1.sz.mell'!E125</f>
        <v>-28</v>
      </c>
      <c r="K11" s="1285">
        <f t="shared" si="1"/>
        <v>15642</v>
      </c>
    </row>
    <row r="12" spans="1:11" ht="16.5" customHeight="1">
      <c r="A12" s="651" t="s">
        <v>77</v>
      </c>
      <c r="B12" s="450" t="s">
        <v>533</v>
      </c>
      <c r="C12" s="1372">
        <f>100000</f>
        <v>100000</v>
      </c>
      <c r="D12" s="1372">
        <v>100000</v>
      </c>
      <c r="E12" s="1372"/>
      <c r="F12" s="1518">
        <f t="shared" si="0"/>
        <v>100000</v>
      </c>
      <c r="G12" s="1067"/>
      <c r="H12" s="429"/>
      <c r="I12" s="1514"/>
      <c r="J12" s="1514"/>
      <c r="K12" s="1285">
        <f t="shared" si="1"/>
        <v>0</v>
      </c>
    </row>
    <row r="13" spans="1:11" ht="18" customHeight="1">
      <c r="A13" s="651" t="s">
        <v>78</v>
      </c>
      <c r="B13" s="450" t="s">
        <v>534</v>
      </c>
      <c r="C13" s="1372">
        <f>'1.1.sz.mell'!C38</f>
        <v>57000</v>
      </c>
      <c r="D13" s="1372">
        <f>'1.1.sz.mell'!D38</f>
        <v>57000</v>
      </c>
      <c r="E13" s="1372">
        <f>'1.1.sz.mell'!E38</f>
        <v>1540</v>
      </c>
      <c r="F13" s="1372">
        <f>'1.1.sz.mell'!F38</f>
        <v>58540</v>
      </c>
      <c r="G13" s="450" t="s">
        <v>56</v>
      </c>
      <c r="H13" s="1371">
        <f>'1.1.sz.mell'!C126</f>
        <v>169060</v>
      </c>
      <c r="I13" s="1371">
        <f>'1.1.sz.mell'!D126</f>
        <v>258002</v>
      </c>
      <c r="J13" s="1371">
        <f>'1.1.sz.mell'!E126</f>
        <v>0</v>
      </c>
      <c r="K13" s="1518">
        <f>'1.1.sz.mell'!F126</f>
        <v>258002</v>
      </c>
    </row>
    <row r="14" spans="1:11" ht="20.25" customHeight="1">
      <c r="A14" s="651" t="s">
        <v>79</v>
      </c>
      <c r="B14" s="466" t="s">
        <v>535</v>
      </c>
      <c r="C14" s="1372">
        <f>'1.1.sz.mell'!C60+'1.1.sz.mell'!C61+'1.1.sz.mell'!C62</f>
        <v>17495</v>
      </c>
      <c r="D14" s="1372">
        <f>'1.1.sz.mell'!D60+'1.1.sz.mell'!D61+'1.1.sz.mell'!D62</f>
        <v>17725</v>
      </c>
      <c r="E14" s="1372">
        <f>'1.1.sz.mell'!E60+'1.1.sz.mell'!E61+'1.1.sz.mell'!E62</f>
        <v>0</v>
      </c>
      <c r="F14" s="1372">
        <f>'1.1.sz.mell'!F60+'1.1.sz.mell'!F61+'1.1.sz.mell'!F62</f>
        <v>17725</v>
      </c>
      <c r="G14" s="1050" t="s">
        <v>109</v>
      </c>
      <c r="H14" s="1371">
        <f>'1.1.sz.mell'!C127</f>
        <v>3500</v>
      </c>
      <c r="I14" s="1371">
        <f>'1.1.sz.mell'!D127</f>
        <v>17252</v>
      </c>
      <c r="J14" s="1371">
        <f>'1.1.sz.mell'!E127</f>
        <v>1500</v>
      </c>
      <c r="K14" s="1285">
        <f t="shared" si="1"/>
        <v>18752</v>
      </c>
    </row>
    <row r="15" spans="1:11" ht="21" customHeight="1">
      <c r="A15" s="651" t="s">
        <v>80</v>
      </c>
      <c r="B15" s="1050" t="s">
        <v>120</v>
      </c>
      <c r="C15" s="1372">
        <f>'1.1.sz.mell'!C63</f>
        <v>333833</v>
      </c>
      <c r="D15" s="1372">
        <f>'1.1.sz.mell'!D63</f>
        <v>275406</v>
      </c>
      <c r="E15" s="1372">
        <f>'1.1.sz.mell'!E63</f>
        <v>-48830</v>
      </c>
      <c r="F15" s="1518">
        <f t="shared" si="0"/>
        <v>226576</v>
      </c>
      <c r="G15" s="451" t="s">
        <v>426</v>
      </c>
      <c r="H15" s="1371">
        <f>'[11]1.1.sz.mell'!C136</f>
        <v>154000</v>
      </c>
      <c r="I15" s="1371">
        <f>'1.1.sz.mell'!D138</f>
        <v>176456</v>
      </c>
      <c r="J15" s="1371">
        <f>'1.1.sz.mell'!E138</f>
        <v>-22175</v>
      </c>
      <c r="K15" s="1285">
        <f t="shared" si="1"/>
        <v>154281</v>
      </c>
    </row>
    <row r="16" spans="1:11" ht="23.25" customHeight="1">
      <c r="A16" s="651" t="s">
        <v>81</v>
      </c>
      <c r="B16" s="451" t="s">
        <v>536</v>
      </c>
      <c r="C16" s="1395">
        <f>'1.1.sz.mell'!C64</f>
        <v>181333</v>
      </c>
      <c r="D16" s="1395">
        <f>'1.1.sz.mell'!D64</f>
        <v>79333</v>
      </c>
      <c r="E16" s="1395">
        <f>'1.1.sz.mell'!E64</f>
        <v>-34000</v>
      </c>
      <c r="F16" s="1518">
        <f t="shared" si="0"/>
        <v>45333</v>
      </c>
      <c r="G16" s="1068" t="s">
        <v>424</v>
      </c>
      <c r="H16" s="1371">
        <f>'1.1.sz.mell'!C139</f>
        <v>0</v>
      </c>
      <c r="I16" s="1371">
        <f>'1.1.sz.mell'!D139</f>
        <v>0</v>
      </c>
      <c r="J16" s="1372">
        <f>'1.1.sz.mell'!E139</f>
        <v>0</v>
      </c>
      <c r="K16" s="1285">
        <f t="shared" si="1"/>
        <v>0</v>
      </c>
    </row>
    <row r="17" spans="1:11" ht="18" customHeight="1">
      <c r="A17" s="651" t="s">
        <v>82</v>
      </c>
      <c r="B17" s="451" t="s">
        <v>391</v>
      </c>
      <c r="C17" s="1395">
        <f>'1.1.sz.mell'!C65</f>
        <v>5000</v>
      </c>
      <c r="D17" s="1395">
        <f>'1.1.sz.mell'!D65</f>
        <v>5000</v>
      </c>
      <c r="E17" s="1395">
        <f>'1.1.sz.mell'!E65</f>
        <v>0</v>
      </c>
      <c r="F17" s="1518">
        <f t="shared" si="0"/>
        <v>5000</v>
      </c>
      <c r="G17" s="1068" t="s">
        <v>425</v>
      </c>
      <c r="H17" s="1371">
        <f>'1.1.sz.mell'!C138</f>
        <v>154000</v>
      </c>
      <c r="I17" s="1371">
        <f>'1.1.sz.mell'!D138</f>
        <v>176456</v>
      </c>
      <c r="J17" s="1371">
        <f>'1.1.sz.mell'!E138</f>
        <v>-22175</v>
      </c>
      <c r="K17" s="1518">
        <f>'1.1.sz.mell'!F138</f>
        <v>154281</v>
      </c>
    </row>
    <row r="18" spans="1:11" ht="18" customHeight="1">
      <c r="A18" s="652" t="s">
        <v>83</v>
      </c>
      <c r="B18" s="451" t="s">
        <v>395</v>
      </c>
      <c r="C18" s="1395">
        <f>'1.1.sz.mell'!C66</f>
        <v>147500</v>
      </c>
      <c r="D18" s="1395">
        <f>'1.1.sz.mell'!D66</f>
        <v>147500</v>
      </c>
      <c r="E18" s="1395">
        <f>'1.1.sz.mell'!E66</f>
        <v>0</v>
      </c>
      <c r="F18" s="1518">
        <f t="shared" si="0"/>
        <v>147500</v>
      </c>
      <c r="G18" s="1056"/>
      <c r="H18" s="1515"/>
      <c r="I18" s="1515"/>
      <c r="J18" s="1372"/>
      <c r="K18" s="1285"/>
    </row>
    <row r="19" spans="1:11" s="653" customFormat="1" ht="18" customHeight="1">
      <c r="A19" s="651" t="s">
        <v>84</v>
      </c>
      <c r="B19" s="93" t="s">
        <v>600</v>
      </c>
      <c r="C19" s="1395">
        <f>'1.1.sz.mell'!C67</f>
        <v>0</v>
      </c>
      <c r="D19" s="1395">
        <f>'1.1.sz.mell'!D67</f>
        <v>43573</v>
      </c>
      <c r="E19" s="1395">
        <f>'1.1.sz.mell'!E67</f>
        <v>-14830</v>
      </c>
      <c r="F19" s="1518">
        <f t="shared" si="0"/>
        <v>28743</v>
      </c>
      <c r="G19" s="450"/>
      <c r="H19" s="1372"/>
      <c r="I19" s="1372"/>
      <c r="J19" s="1372"/>
      <c r="K19" s="1285"/>
    </row>
    <row r="20" spans="1:11" s="653" customFormat="1" ht="18" customHeight="1" thickBot="1">
      <c r="A20" s="652" t="s">
        <v>85</v>
      </c>
      <c r="B20" s="497"/>
      <c r="C20" s="498"/>
      <c r="D20" s="498"/>
      <c r="E20" s="498"/>
      <c r="F20" s="467">
        <f t="shared" si="0"/>
        <v>0</v>
      </c>
      <c r="G20" s="1410"/>
      <c r="H20" s="1411"/>
      <c r="I20" s="1411"/>
      <c r="J20" s="1411"/>
      <c r="K20" s="1382"/>
    </row>
    <row r="21" spans="1:11" ht="21" customHeight="1" thickBot="1">
      <c r="A21" s="1064" t="s">
        <v>86</v>
      </c>
      <c r="B21" s="1063" t="s">
        <v>537</v>
      </c>
      <c r="C21" s="654">
        <f>C6+C10+C11+C13+C14+C15+C12</f>
        <v>1012981</v>
      </c>
      <c r="D21" s="654">
        <f>D6+D10+D11+D13+D14+D15+D12</f>
        <v>1107320</v>
      </c>
      <c r="E21" s="654">
        <f>E6+E10+E11+E13+E14+E15+E12</f>
        <v>-102300</v>
      </c>
      <c r="F21" s="838">
        <f>F6+F10+F11+F13+F14+F15+F12</f>
        <v>1005020</v>
      </c>
      <c r="G21" s="453" t="s">
        <v>538</v>
      </c>
      <c r="H21" s="452">
        <f>H6+H13+H14+H15</f>
        <v>1413099</v>
      </c>
      <c r="I21" s="452">
        <f>I6+I13+I14+I15</f>
        <v>1615217</v>
      </c>
      <c r="J21" s="452">
        <f>J6+J13+J14+J15</f>
        <v>-103900</v>
      </c>
      <c r="K21" s="454">
        <f>K6+K13+K14+K15</f>
        <v>1511317</v>
      </c>
    </row>
    <row r="22" spans="1:11" ht="21.75" customHeight="1">
      <c r="A22" s="1049" t="s">
        <v>87</v>
      </c>
      <c r="B22" s="1062" t="s">
        <v>539</v>
      </c>
      <c r="C22" s="1520">
        <f>+C23+C24+C25+C26+C27</f>
        <v>361550</v>
      </c>
      <c r="D22" s="1520">
        <f>+D23+D24+D25+D26+D27</f>
        <v>1019095</v>
      </c>
      <c r="E22" s="1520">
        <f>+E23+E24+E25+E26+E27</f>
        <v>202718</v>
      </c>
      <c r="F22" s="1518">
        <f t="shared" si="0"/>
        <v>1221813</v>
      </c>
      <c r="G22" s="1376" t="s">
        <v>509</v>
      </c>
      <c r="H22" s="423"/>
      <c r="I22" s="1377">
        <f>'[8]1.1.sz.mell'!D143</f>
        <v>98699</v>
      </c>
      <c r="J22" s="1377"/>
      <c r="K22" s="1378">
        <f>I22+J22</f>
        <v>98699</v>
      </c>
    </row>
    <row r="23" spans="1:11" ht="21.75" customHeight="1">
      <c r="A23" s="651" t="s">
        <v>88</v>
      </c>
      <c r="B23" s="450" t="s">
        <v>111</v>
      </c>
      <c r="C23" s="1372">
        <f>'1.1.sz.mell'!C89</f>
        <v>361550</v>
      </c>
      <c r="D23" s="1372">
        <f>'1.1.sz.mell'!D89</f>
        <v>560110</v>
      </c>
      <c r="E23" s="1372">
        <f>'1.1.sz.mell'!E89</f>
        <v>0</v>
      </c>
      <c r="F23" s="1372">
        <f>'1.1.sz.mell'!F89</f>
        <v>560110</v>
      </c>
      <c r="G23" s="450" t="s">
        <v>540</v>
      </c>
      <c r="H23" s="377"/>
      <c r="I23" s="441"/>
      <c r="J23" s="441"/>
      <c r="K23" s="1366"/>
    </row>
    <row r="24" spans="1:11" ht="21.75" customHeight="1">
      <c r="A24" s="1049" t="s">
        <v>89</v>
      </c>
      <c r="B24" s="450" t="s">
        <v>541</v>
      </c>
      <c r="C24" s="1395"/>
      <c r="D24" s="1521"/>
      <c r="E24" s="1521"/>
      <c r="F24" s="1522"/>
      <c r="G24" s="450" t="s">
        <v>513</v>
      </c>
      <c r="H24" s="377"/>
      <c r="I24" s="441"/>
      <c r="J24" s="441"/>
      <c r="K24" s="1366"/>
    </row>
    <row r="25" spans="1:11" ht="21.75" customHeight="1">
      <c r="A25" s="651" t="s">
        <v>90</v>
      </c>
      <c r="B25" s="450" t="s">
        <v>542</v>
      </c>
      <c r="C25" s="1372"/>
      <c r="D25" s="429"/>
      <c r="E25" s="429"/>
      <c r="F25" s="1523"/>
      <c r="G25" s="450" t="s">
        <v>515</v>
      </c>
      <c r="H25" s="377"/>
      <c r="I25" s="441"/>
      <c r="J25" s="441"/>
      <c r="K25" s="1366"/>
    </row>
    <row r="26" spans="1:11" ht="21.75" customHeight="1">
      <c r="A26" s="1049" t="s">
        <v>91</v>
      </c>
      <c r="B26" s="450" t="s">
        <v>543</v>
      </c>
      <c r="C26" s="1372"/>
      <c r="D26" s="429">
        <v>458985</v>
      </c>
      <c r="E26" s="429">
        <f>'1.1.sz.mell'!E147</f>
        <v>202718</v>
      </c>
      <c r="F26" s="1518">
        <f>SUM(D26:E26)</f>
        <v>661703</v>
      </c>
      <c r="G26" s="449" t="s">
        <v>517</v>
      </c>
      <c r="H26" s="377"/>
      <c r="I26" s="441"/>
      <c r="J26" s="441"/>
      <c r="K26" s="1366"/>
    </row>
    <row r="27" spans="1:11" ht="21.75" customHeight="1">
      <c r="A27" s="651" t="s">
        <v>92</v>
      </c>
      <c r="B27" s="450" t="s">
        <v>544</v>
      </c>
      <c r="C27" s="1396"/>
      <c r="D27" s="1514"/>
      <c r="E27" s="1514"/>
      <c r="F27" s="1285"/>
      <c r="G27" s="450" t="s">
        <v>545</v>
      </c>
      <c r="H27" s="1373"/>
      <c r="I27" s="377">
        <v>458985</v>
      </c>
      <c r="J27" s="1372">
        <f>'1.1.sz.mell'!E147</f>
        <v>202718</v>
      </c>
      <c r="K27" s="1366">
        <f>I27+J27</f>
        <v>661703</v>
      </c>
    </row>
    <row r="28" spans="1:11" ht="21.75" customHeight="1">
      <c r="A28" s="651" t="s">
        <v>93</v>
      </c>
      <c r="B28" s="450" t="s">
        <v>546</v>
      </c>
      <c r="C28" s="896">
        <f>+C29+C30+C31+C32+C33</f>
        <v>0</v>
      </c>
      <c r="D28" s="1524"/>
      <c r="E28" s="1524"/>
      <c r="F28" s="1525"/>
      <c r="G28" s="450" t="s">
        <v>521</v>
      </c>
      <c r="H28" s="1373"/>
      <c r="I28" s="441"/>
      <c r="J28" s="441"/>
      <c r="K28" s="1366"/>
    </row>
    <row r="29" spans="1:11" ht="21.75" customHeight="1">
      <c r="A29" s="651" t="s">
        <v>94</v>
      </c>
      <c r="B29" s="450" t="s">
        <v>547</v>
      </c>
      <c r="C29" s="1372"/>
      <c r="D29" s="429"/>
      <c r="E29" s="429"/>
      <c r="F29" s="1523"/>
      <c r="G29" s="450" t="s">
        <v>548</v>
      </c>
      <c r="H29" s="1374"/>
      <c r="I29" s="441"/>
      <c r="J29" s="441"/>
      <c r="K29" s="1366"/>
    </row>
    <row r="30" spans="1:11" ht="21.75" customHeight="1">
      <c r="A30" s="1049" t="s">
        <v>95</v>
      </c>
      <c r="B30" s="450" t="s">
        <v>549</v>
      </c>
      <c r="C30" s="1396"/>
      <c r="D30" s="1514"/>
      <c r="E30" s="1514"/>
      <c r="F30" s="1285"/>
      <c r="G30" s="1051"/>
      <c r="H30" s="1373"/>
      <c r="I30" s="441"/>
      <c r="J30" s="441"/>
      <c r="K30" s="1366"/>
    </row>
    <row r="31" spans="1:11" ht="21.75" customHeight="1">
      <c r="A31" s="651" t="s">
        <v>96</v>
      </c>
      <c r="B31" s="450" t="s">
        <v>550</v>
      </c>
      <c r="C31" s="1396"/>
      <c r="D31" s="1514"/>
      <c r="E31" s="1514"/>
      <c r="F31" s="1285"/>
      <c r="G31" s="1051"/>
      <c r="H31" s="1375"/>
      <c r="I31" s="441"/>
      <c r="J31" s="441"/>
      <c r="K31" s="1366"/>
    </row>
    <row r="32" spans="1:11" ht="21.75" customHeight="1">
      <c r="A32" s="1049" t="s">
        <v>97</v>
      </c>
      <c r="B32" s="450" t="s">
        <v>551</v>
      </c>
      <c r="C32" s="1396"/>
      <c r="D32" s="1514"/>
      <c r="E32" s="1514"/>
      <c r="F32" s="1285"/>
      <c r="G32" s="1051"/>
      <c r="H32" s="1373"/>
      <c r="I32" s="441"/>
      <c r="J32" s="441"/>
      <c r="K32" s="1366"/>
    </row>
    <row r="33" spans="1:11" ht="21.75" customHeight="1" thickBot="1">
      <c r="A33" s="652" t="s">
        <v>112</v>
      </c>
      <c r="B33" s="1056" t="s">
        <v>552</v>
      </c>
      <c r="C33" s="1057"/>
      <c r="D33" s="1046"/>
      <c r="E33" s="1046"/>
      <c r="F33" s="1047"/>
      <c r="G33" s="1379"/>
      <c r="H33" s="1380"/>
      <c r="I33" s="1381"/>
      <c r="J33" s="1381"/>
      <c r="K33" s="1382"/>
    </row>
    <row r="34" spans="1:11" ht="24" customHeight="1" thickBot="1">
      <c r="A34" s="456" t="s">
        <v>113</v>
      </c>
      <c r="B34" s="1059" t="s">
        <v>553</v>
      </c>
      <c r="C34" s="455">
        <f>+C22+C28</f>
        <v>361550</v>
      </c>
      <c r="D34" s="455">
        <f>+D22+D28</f>
        <v>1019095</v>
      </c>
      <c r="E34" s="455">
        <f>+E22+E28</f>
        <v>202718</v>
      </c>
      <c r="F34" s="455">
        <f>+F22+F28</f>
        <v>1221813</v>
      </c>
      <c r="G34" s="1059" t="s">
        <v>554</v>
      </c>
      <c r="H34" s="1383">
        <f>SUM(H22:H33)</f>
        <v>0</v>
      </c>
      <c r="I34" s="1383">
        <f>SUM(I22:I33)</f>
        <v>557684</v>
      </c>
      <c r="J34" s="1383">
        <f>SUM(J22:J33)</f>
        <v>202718</v>
      </c>
      <c r="K34" s="1384">
        <f>SUM(K22:K33)</f>
        <v>760402</v>
      </c>
    </row>
    <row r="35" spans="1:11" ht="18" customHeight="1" thickBot="1">
      <c r="A35" s="456" t="s">
        <v>114</v>
      </c>
      <c r="B35" s="453" t="s">
        <v>555</v>
      </c>
      <c r="C35" s="658">
        <f>C21+C34</f>
        <v>1374531</v>
      </c>
      <c r="D35" s="658">
        <f>D21+D34</f>
        <v>2126415</v>
      </c>
      <c r="E35" s="658">
        <f>E21+E34</f>
        <v>100418</v>
      </c>
      <c r="F35" s="658">
        <f>F21+F34</f>
        <v>2226833</v>
      </c>
      <c r="G35" s="453" t="s">
        <v>556</v>
      </c>
      <c r="H35" s="1385">
        <f>H21+H34</f>
        <v>1413099</v>
      </c>
      <c r="I35" s="1385">
        <f>I21+I34</f>
        <v>2172901</v>
      </c>
      <c r="J35" s="1385">
        <f>J21+J34</f>
        <v>98818</v>
      </c>
      <c r="K35" s="1386">
        <f>K21+K34</f>
        <v>2271719</v>
      </c>
    </row>
    <row r="36" spans="1:11" ht="18" customHeight="1" thickBot="1">
      <c r="A36" s="456" t="s">
        <v>115</v>
      </c>
      <c r="B36" s="453" t="s">
        <v>522</v>
      </c>
      <c r="C36" s="659">
        <f>IF(C21-H21&lt;0,H21-C21,"-")</f>
        <v>400118</v>
      </c>
      <c r="D36" s="659">
        <f>IF(D21-I21&lt;0,I21-D21,"-")</f>
        <v>507897</v>
      </c>
      <c r="E36" s="659" t="str">
        <f>IF(E21-J21&lt;0,J21-E21,"-")</f>
        <v>-</v>
      </c>
      <c r="F36" s="659">
        <f>IF(F21-K21&lt;0,K21-F21,"-")</f>
        <v>506297</v>
      </c>
      <c r="G36" s="453" t="s">
        <v>523</v>
      </c>
      <c r="H36" s="1383" t="str">
        <f>IF(C21-H21&gt;0,C21-H21,"-")</f>
        <v>-</v>
      </c>
      <c r="I36" s="1383" t="str">
        <f>IF(D21-I21&gt;0,D21-I21,"-")</f>
        <v>-</v>
      </c>
      <c r="J36" s="1383">
        <f>IF(E21-J21&gt;0,E21-J21,"-")</f>
        <v>1600</v>
      </c>
      <c r="K36" s="1384" t="str">
        <f>IF(F21-K21&gt;0,F21-K21,"-")</f>
        <v>-</v>
      </c>
    </row>
    <row r="37" spans="1:11" ht="18" customHeight="1" thickBot="1">
      <c r="A37" s="1058" t="s">
        <v>125</v>
      </c>
      <c r="B37" s="1060" t="s">
        <v>524</v>
      </c>
      <c r="C37" s="1061">
        <f>IF(C21+C22-H35&lt;0,H35-(C21+C22),"-")</f>
        <v>38568</v>
      </c>
      <c r="D37" s="1061">
        <f>IF(D21+D22-I35&lt;0,I35-(D21+D22),"-")</f>
        <v>46486</v>
      </c>
      <c r="E37" s="1061" t="str">
        <f>IF(E21+E22-J35&lt;0,J35-(E21+E22),"-")</f>
        <v>-</v>
      </c>
      <c r="F37" s="1061">
        <f>IF(F21+F22-K35&lt;0,K35-(F21+F22),"-")</f>
        <v>44886</v>
      </c>
      <c r="G37" s="453" t="s">
        <v>525</v>
      </c>
      <c r="H37" s="1383" t="str">
        <f>IF(C21+C22-H35&gt;0,C21+C22-H35,"-")</f>
        <v>-</v>
      </c>
      <c r="I37" s="1383" t="str">
        <f>IF(D21+D22-I35&gt;0,D21+D22-I35,"-")</f>
        <v>-</v>
      </c>
      <c r="J37" s="1383">
        <f>IF(E21+E22-J35&gt;0,E21+E22-J35,"-")</f>
        <v>1600</v>
      </c>
      <c r="K37" s="1384" t="str">
        <f>IF(F21+F22-K35&gt;0,F21+F22-K35,"-")</f>
        <v>-</v>
      </c>
    </row>
    <row r="38" spans="1:11">
      <c r="C38" s="418"/>
      <c r="D38" s="418"/>
      <c r="E38" s="418"/>
      <c r="F38" s="418"/>
    </row>
  </sheetData>
  <mergeCells count="4">
    <mergeCell ref="A3:A4"/>
    <mergeCell ref="B3:F3"/>
    <mergeCell ref="G3:K3"/>
    <mergeCell ref="A1:K1"/>
  </mergeCells>
  <printOptions horizontalCentered="1"/>
  <pageMargins left="0.19685039370078741" right="0.19685039370078741" top="0.6692913385826772" bottom="0.39370078740157483" header="0.47244094488188981" footer="0.39370078740157483"/>
  <pageSetup paperSize="9" scale="56" orientation="landscape" verticalDpi="300" r:id="rId1"/>
  <headerFooter alignWithMargins="0">
    <oddHeader>&amp;R&amp;"Times New Roman CE,Dőlt"&amp;11 &amp;12 2.2. melléklet a ../2014.(.)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90"/>
  <sheetViews>
    <sheetView topLeftCell="A64" zoomScale="80" zoomScaleNormal="80" workbookViewId="0">
      <selection activeCell="G81" sqref="G81"/>
    </sheetView>
  </sheetViews>
  <sheetFormatPr defaultColWidth="10.6640625" defaultRowHeight="12.75"/>
  <cols>
    <col min="1" max="1" width="7.1640625" style="13" customWidth="1"/>
    <col min="2" max="2" width="55.6640625" style="13" customWidth="1"/>
    <col min="3" max="3" width="16.83203125" style="13" customWidth="1"/>
    <col min="4" max="4" width="16.83203125" style="12" customWidth="1"/>
    <col min="5" max="5" width="13.83203125" style="13" customWidth="1"/>
    <col min="6" max="6" width="12.6640625" style="13" customWidth="1"/>
    <col min="7" max="7" width="13.33203125" style="13" customWidth="1"/>
    <col min="8" max="8" width="13.1640625" style="13" customWidth="1"/>
    <col min="9" max="10" width="15" style="13" customWidth="1"/>
    <col min="11" max="11" width="16.83203125" style="13" customWidth="1"/>
    <col min="12" max="12" width="18.1640625" style="13" customWidth="1"/>
    <col min="13" max="13" width="17.33203125" style="13" customWidth="1"/>
    <col min="14" max="16384" width="10.6640625" style="13"/>
  </cols>
  <sheetData>
    <row r="1" spans="1:12" ht="38.25" customHeight="1">
      <c r="A1" s="1639" t="s">
        <v>602</v>
      </c>
      <c r="B1" s="1639"/>
      <c r="C1" s="1639"/>
      <c r="D1" s="1639"/>
      <c r="E1" s="1639"/>
      <c r="F1" s="1639"/>
      <c r="G1" s="1639"/>
      <c r="H1" s="1639"/>
      <c r="I1" s="1639"/>
      <c r="J1" s="1639"/>
      <c r="K1" s="1639"/>
      <c r="L1" s="1639"/>
    </row>
    <row r="2" spans="1:12" ht="14.25" customHeight="1" thickBot="1">
      <c r="A2" s="27"/>
      <c r="B2" s="28"/>
      <c r="C2" s="28"/>
      <c r="D2" s="494"/>
      <c r="E2" s="28"/>
      <c r="F2" s="28"/>
      <c r="G2" s="28"/>
      <c r="H2" s="28"/>
      <c r="I2" s="28"/>
      <c r="J2" s="28"/>
      <c r="K2" s="28"/>
    </row>
    <row r="3" spans="1:12" s="17" customFormat="1" ht="24" customHeight="1" thickBot="1">
      <c r="A3" s="1640" t="s">
        <v>70</v>
      </c>
      <c r="B3" s="1640" t="s">
        <v>4</v>
      </c>
      <c r="C3" s="1645" t="s">
        <v>589</v>
      </c>
      <c r="D3" s="1646"/>
      <c r="E3" s="1646"/>
      <c r="F3" s="1646"/>
      <c r="G3" s="1646"/>
      <c r="H3" s="1646"/>
      <c r="I3" s="1646"/>
      <c r="J3" s="1646"/>
      <c r="K3" s="1646"/>
      <c r="L3" s="1647"/>
    </row>
    <row r="4" spans="1:12" s="17" customFormat="1" ht="18.75" customHeight="1" thickBot="1">
      <c r="A4" s="1641"/>
      <c r="B4" s="1643"/>
      <c r="C4" s="1648" t="s">
        <v>581</v>
      </c>
      <c r="D4" s="1649"/>
      <c r="E4" s="1650"/>
      <c r="F4" s="1648" t="s">
        <v>102</v>
      </c>
      <c r="G4" s="1649"/>
      <c r="H4" s="1650"/>
      <c r="I4" s="1648" t="s">
        <v>103</v>
      </c>
      <c r="J4" s="1649"/>
      <c r="K4" s="1650"/>
      <c r="L4" s="996" t="s">
        <v>148</v>
      </c>
    </row>
    <row r="5" spans="1:12" s="18" customFormat="1" ht="36" customHeight="1" thickBot="1">
      <c r="A5" s="1642"/>
      <c r="B5" s="1644"/>
      <c r="C5" s="572" t="s">
        <v>582</v>
      </c>
      <c r="D5" s="573" t="s">
        <v>471</v>
      </c>
      <c r="E5" s="689" t="s">
        <v>618</v>
      </c>
      <c r="F5" s="572" t="s">
        <v>582</v>
      </c>
      <c r="G5" s="574" t="s">
        <v>558</v>
      </c>
      <c r="H5" s="718" t="s">
        <v>618</v>
      </c>
      <c r="I5" s="572" t="s">
        <v>582</v>
      </c>
      <c r="J5" s="574" t="s">
        <v>558</v>
      </c>
      <c r="K5" s="689" t="s">
        <v>618</v>
      </c>
      <c r="L5" s="997" t="s">
        <v>471</v>
      </c>
    </row>
    <row r="6" spans="1:12" s="416" customFormat="1" ht="16.5" customHeight="1" thickBot="1">
      <c r="A6" s="415" t="s">
        <v>71</v>
      </c>
      <c r="B6" s="688" t="s">
        <v>72</v>
      </c>
      <c r="C6" s="726" t="s">
        <v>73</v>
      </c>
      <c r="D6" s="727" t="s">
        <v>74</v>
      </c>
      <c r="E6" s="723" t="s">
        <v>75</v>
      </c>
      <c r="F6" s="728" t="s">
        <v>76</v>
      </c>
      <c r="G6" s="713" t="s">
        <v>77</v>
      </c>
      <c r="H6" s="688" t="s">
        <v>78</v>
      </c>
      <c r="I6" s="726" t="s">
        <v>79</v>
      </c>
      <c r="J6" s="727" t="s">
        <v>80</v>
      </c>
      <c r="K6" s="688" t="s">
        <v>81</v>
      </c>
      <c r="L6" s="723" t="s">
        <v>82</v>
      </c>
    </row>
    <row r="7" spans="1:12" ht="19.5" customHeight="1">
      <c r="A7" s="165" t="s">
        <v>71</v>
      </c>
      <c r="B7" s="724" t="s">
        <v>65</v>
      </c>
      <c r="C7" s="1336">
        <v>15000</v>
      </c>
      <c r="D7" s="1337">
        <v>31551</v>
      </c>
      <c r="E7" s="1340"/>
      <c r="F7" s="1333"/>
      <c r="G7" s="167"/>
      <c r="H7" s="719"/>
      <c r="I7" s="1336"/>
      <c r="J7" s="1337"/>
      <c r="K7" s="1340"/>
      <c r="L7" s="1398">
        <f>D7+G7+J7+E7+H7+K7</f>
        <v>31551</v>
      </c>
    </row>
    <row r="8" spans="1:12" ht="19.5" customHeight="1">
      <c r="A8" s="164" t="s">
        <v>72</v>
      </c>
      <c r="B8" s="660" t="s">
        <v>64</v>
      </c>
      <c r="C8" s="667">
        <v>13000</v>
      </c>
      <c r="D8" s="168">
        <v>13000</v>
      </c>
      <c r="E8" s="668"/>
      <c r="F8" s="1334"/>
      <c r="G8" s="168"/>
      <c r="H8" s="714"/>
      <c r="I8" s="667"/>
      <c r="J8" s="168"/>
      <c r="K8" s="668"/>
      <c r="L8" s="1398">
        <f t="shared" ref="L8:L64" si="0">D8+G8+J8+E8+H8+K8</f>
        <v>13000</v>
      </c>
    </row>
    <row r="9" spans="1:12" ht="19.5" customHeight="1">
      <c r="A9" s="164" t="s">
        <v>73</v>
      </c>
      <c r="B9" s="660" t="s">
        <v>169</v>
      </c>
      <c r="C9" s="667">
        <v>4000</v>
      </c>
      <c r="D9" s="168">
        <v>5200</v>
      </c>
      <c r="E9" s="668">
        <v>-28</v>
      </c>
      <c r="F9" s="1334">
        <v>3000</v>
      </c>
      <c r="G9" s="168">
        <v>3000</v>
      </c>
      <c r="H9" s="714"/>
      <c r="I9" s="667"/>
      <c r="J9" s="168"/>
      <c r="K9" s="668"/>
      <c r="L9" s="1398">
        <f t="shared" si="0"/>
        <v>8172</v>
      </c>
    </row>
    <row r="10" spans="1:12" ht="19.5" customHeight="1">
      <c r="A10" s="164" t="s">
        <v>74</v>
      </c>
      <c r="B10" s="660" t="s">
        <v>105</v>
      </c>
      <c r="C10" s="667">
        <v>70000</v>
      </c>
      <c r="D10" s="168">
        <v>107123</v>
      </c>
      <c r="E10" s="668">
        <f>-14830-6414</f>
        <v>-21244</v>
      </c>
      <c r="F10" s="1334"/>
      <c r="G10" s="168"/>
      <c r="H10" s="714"/>
      <c r="I10" s="667"/>
      <c r="J10" s="168"/>
      <c r="K10" s="668"/>
      <c r="L10" s="1398">
        <f t="shared" si="0"/>
        <v>85879</v>
      </c>
    </row>
    <row r="11" spans="1:12" ht="30" customHeight="1">
      <c r="A11" s="164" t="s">
        <v>75</v>
      </c>
      <c r="B11" s="660" t="s">
        <v>139</v>
      </c>
      <c r="C11" s="667"/>
      <c r="D11" s="168">
        <v>1200</v>
      </c>
      <c r="E11" s="668"/>
      <c r="F11" s="1334">
        <v>10000</v>
      </c>
      <c r="G11" s="168">
        <v>10000</v>
      </c>
      <c r="H11" s="714"/>
      <c r="I11" s="667"/>
      <c r="J11" s="168"/>
      <c r="K11" s="668"/>
      <c r="L11" s="1398">
        <f t="shared" si="0"/>
        <v>11200</v>
      </c>
    </row>
    <row r="12" spans="1:12" ht="21" customHeight="1">
      <c r="A12" s="164" t="s">
        <v>76</v>
      </c>
      <c r="B12" s="660" t="s">
        <v>142</v>
      </c>
      <c r="C12" s="667">
        <v>7700</v>
      </c>
      <c r="D12" s="168">
        <v>16000</v>
      </c>
      <c r="E12" s="668"/>
      <c r="F12" s="1334"/>
      <c r="G12" s="168"/>
      <c r="H12" s="714"/>
      <c r="I12" s="667"/>
      <c r="J12" s="168"/>
      <c r="K12" s="668"/>
      <c r="L12" s="1398">
        <f t="shared" si="0"/>
        <v>16000</v>
      </c>
    </row>
    <row r="13" spans="1:12" ht="30.75" customHeight="1">
      <c r="A13" s="164" t="s">
        <v>77</v>
      </c>
      <c r="B13" s="660" t="s">
        <v>458</v>
      </c>
      <c r="C13" s="667"/>
      <c r="D13" s="168">
        <v>10240</v>
      </c>
      <c r="E13" s="668">
        <v>3200</v>
      </c>
      <c r="F13" s="1334"/>
      <c r="G13" s="168"/>
      <c r="H13" s="714"/>
      <c r="I13" s="667"/>
      <c r="J13" s="168"/>
      <c r="K13" s="668"/>
      <c r="L13" s="1398">
        <f t="shared" si="0"/>
        <v>13440</v>
      </c>
    </row>
    <row r="14" spans="1:12" ht="42.75" customHeight="1">
      <c r="A14" s="164" t="s">
        <v>78</v>
      </c>
      <c r="B14" s="660" t="s">
        <v>170</v>
      </c>
      <c r="C14" s="667"/>
      <c r="D14" s="168">
        <v>10281</v>
      </c>
      <c r="E14" s="668">
        <v>451</v>
      </c>
      <c r="F14" s="1334"/>
      <c r="G14" s="168"/>
      <c r="H14" s="714"/>
      <c r="I14" s="667"/>
      <c r="J14" s="168"/>
      <c r="K14" s="668"/>
      <c r="L14" s="1398">
        <f t="shared" si="0"/>
        <v>10732</v>
      </c>
    </row>
    <row r="15" spans="1:12" ht="19.5" customHeight="1">
      <c r="A15" s="164" t="s">
        <v>79</v>
      </c>
      <c r="B15" s="660" t="s">
        <v>143</v>
      </c>
      <c r="C15" s="667"/>
      <c r="D15" s="168">
        <v>3043</v>
      </c>
      <c r="E15" s="668">
        <v>-1594</v>
      </c>
      <c r="F15" s="1334"/>
      <c r="G15" s="168"/>
      <c r="H15" s="714"/>
      <c r="I15" s="667"/>
      <c r="J15" s="168"/>
      <c r="K15" s="668"/>
      <c r="L15" s="1398">
        <f t="shared" si="0"/>
        <v>1449</v>
      </c>
    </row>
    <row r="16" spans="1:12" ht="19.5" customHeight="1">
      <c r="A16" s="164" t="s">
        <v>80</v>
      </c>
      <c r="B16" s="660" t="s">
        <v>171</v>
      </c>
      <c r="C16" s="667"/>
      <c r="D16" s="168">
        <v>16907</v>
      </c>
      <c r="E16" s="668"/>
      <c r="F16" s="1334"/>
      <c r="G16" s="168"/>
      <c r="H16" s="714"/>
      <c r="I16" s="667"/>
      <c r="J16" s="168"/>
      <c r="K16" s="668"/>
      <c r="L16" s="1398">
        <f t="shared" si="0"/>
        <v>16907</v>
      </c>
    </row>
    <row r="17" spans="1:13" ht="19.5" customHeight="1">
      <c r="A17" s="164" t="s">
        <v>81</v>
      </c>
      <c r="B17" s="660" t="s">
        <v>459</v>
      </c>
      <c r="C17" s="667"/>
      <c r="D17" s="168">
        <v>1380</v>
      </c>
      <c r="E17" s="668">
        <v>-294</v>
      </c>
      <c r="F17" s="1334"/>
      <c r="G17" s="168"/>
      <c r="H17" s="714"/>
      <c r="I17" s="667"/>
      <c r="J17" s="168"/>
      <c r="K17" s="668"/>
      <c r="L17" s="1398">
        <f t="shared" si="0"/>
        <v>1086</v>
      </c>
    </row>
    <row r="18" spans="1:13" ht="19.5" customHeight="1">
      <c r="A18" s="164" t="s">
        <v>82</v>
      </c>
      <c r="B18" s="660" t="s">
        <v>172</v>
      </c>
      <c r="C18" s="667">
        <v>10000</v>
      </c>
      <c r="D18" s="168">
        <v>10000</v>
      </c>
      <c r="E18" s="668"/>
      <c r="F18" s="1334"/>
      <c r="G18" s="168"/>
      <c r="H18" s="714"/>
      <c r="I18" s="667"/>
      <c r="J18" s="168"/>
      <c r="K18" s="668"/>
      <c r="L18" s="1398">
        <f t="shared" si="0"/>
        <v>10000</v>
      </c>
    </row>
    <row r="19" spans="1:13" ht="41.25" customHeight="1">
      <c r="A19" s="164" t="s">
        <v>83</v>
      </c>
      <c r="B19" s="661" t="s">
        <v>460</v>
      </c>
      <c r="C19" s="667">
        <v>42600</v>
      </c>
      <c r="D19" s="168">
        <v>41989</v>
      </c>
      <c r="E19" s="668"/>
      <c r="F19" s="1334"/>
      <c r="G19" s="168"/>
      <c r="H19" s="714"/>
      <c r="I19" s="667"/>
      <c r="J19" s="168"/>
      <c r="K19" s="668"/>
      <c r="L19" s="1398">
        <f t="shared" si="0"/>
        <v>41989</v>
      </c>
      <c r="M19" s="61"/>
    </row>
    <row r="20" spans="1:13" ht="31.5" customHeight="1">
      <c r="A20" s="164" t="s">
        <v>84</v>
      </c>
      <c r="B20" s="660" t="s">
        <v>173</v>
      </c>
      <c r="C20" s="667">
        <v>59000</v>
      </c>
      <c r="D20" s="168"/>
      <c r="E20" s="668"/>
      <c r="F20" s="1334"/>
      <c r="G20" s="168"/>
      <c r="H20" s="714"/>
      <c r="I20" s="667"/>
      <c r="J20" s="168"/>
      <c r="K20" s="668"/>
      <c r="L20" s="1398">
        <f t="shared" si="0"/>
        <v>0</v>
      </c>
    </row>
    <row r="21" spans="1:13" ht="31.5" customHeight="1">
      <c r="A21" s="164" t="s">
        <v>85</v>
      </c>
      <c r="B21" s="661" t="s">
        <v>174</v>
      </c>
      <c r="C21" s="667">
        <v>2500</v>
      </c>
      <c r="D21" s="168">
        <v>4819</v>
      </c>
      <c r="E21" s="668"/>
      <c r="F21" s="1334"/>
      <c r="G21" s="168"/>
      <c r="H21" s="714"/>
      <c r="I21" s="667"/>
      <c r="J21" s="168"/>
      <c r="K21" s="668"/>
      <c r="L21" s="1398">
        <f t="shared" si="0"/>
        <v>4819</v>
      </c>
    </row>
    <row r="22" spans="1:13" ht="31.5" customHeight="1">
      <c r="A22" s="164" t="s">
        <v>86</v>
      </c>
      <c r="B22" s="661" t="s">
        <v>461</v>
      </c>
      <c r="C22" s="667">
        <v>7500</v>
      </c>
      <c r="D22" s="168">
        <v>7500</v>
      </c>
      <c r="E22" s="668"/>
      <c r="F22" s="1334"/>
      <c r="G22" s="168"/>
      <c r="H22" s="714"/>
      <c r="I22" s="667"/>
      <c r="J22" s="168"/>
      <c r="K22" s="668"/>
      <c r="L22" s="1398">
        <f t="shared" si="0"/>
        <v>7500</v>
      </c>
    </row>
    <row r="23" spans="1:13" ht="21.75" customHeight="1">
      <c r="A23" s="164" t="s">
        <v>87</v>
      </c>
      <c r="B23" s="660" t="s">
        <v>462</v>
      </c>
      <c r="C23" s="667">
        <v>12000</v>
      </c>
      <c r="D23" s="168">
        <v>7100</v>
      </c>
      <c r="E23" s="668">
        <v>-1992</v>
      </c>
      <c r="F23" s="1334"/>
      <c r="G23" s="168"/>
      <c r="H23" s="714"/>
      <c r="I23" s="667"/>
      <c r="J23" s="168"/>
      <c r="K23" s="668"/>
      <c r="L23" s="1398">
        <f t="shared" si="0"/>
        <v>5108</v>
      </c>
    </row>
    <row r="24" spans="1:13" ht="25.5" customHeight="1">
      <c r="A24" s="164" t="s">
        <v>88</v>
      </c>
      <c r="B24" s="660" t="s">
        <v>175</v>
      </c>
      <c r="C24" s="667">
        <v>6000</v>
      </c>
      <c r="D24" s="168">
        <v>6000</v>
      </c>
      <c r="E24" s="668"/>
      <c r="F24" s="1334"/>
      <c r="G24" s="168"/>
      <c r="H24" s="714"/>
      <c r="I24" s="667"/>
      <c r="J24" s="168"/>
      <c r="K24" s="668"/>
      <c r="L24" s="1398">
        <f t="shared" si="0"/>
        <v>6000</v>
      </c>
    </row>
    <row r="25" spans="1:13" ht="25.5" customHeight="1">
      <c r="A25" s="164" t="s">
        <v>89</v>
      </c>
      <c r="B25" s="660" t="s">
        <v>176</v>
      </c>
      <c r="C25" s="667">
        <v>4000</v>
      </c>
      <c r="D25" s="168">
        <v>9100</v>
      </c>
      <c r="E25" s="668">
        <v>-3030</v>
      </c>
      <c r="F25" s="1334"/>
      <c r="G25" s="168"/>
      <c r="H25" s="714"/>
      <c r="I25" s="667"/>
      <c r="J25" s="168"/>
      <c r="K25" s="668"/>
      <c r="L25" s="1398">
        <f t="shared" si="0"/>
        <v>6070</v>
      </c>
    </row>
    <row r="26" spans="1:13" ht="24.75" customHeight="1">
      <c r="A26" s="164" t="s">
        <v>90</v>
      </c>
      <c r="B26" s="660" t="s">
        <v>177</v>
      </c>
      <c r="C26" s="667">
        <v>4000</v>
      </c>
      <c r="D26" s="168">
        <v>4000</v>
      </c>
      <c r="E26" s="668">
        <v>200</v>
      </c>
      <c r="F26" s="1334"/>
      <c r="G26" s="168"/>
      <c r="H26" s="714"/>
      <c r="I26" s="667"/>
      <c r="J26" s="168"/>
      <c r="K26" s="668"/>
      <c r="L26" s="1398">
        <f t="shared" si="0"/>
        <v>4200</v>
      </c>
    </row>
    <row r="27" spans="1:13" ht="21.75" customHeight="1">
      <c r="A27" s="164" t="s">
        <v>91</v>
      </c>
      <c r="B27" s="660" t="s">
        <v>149</v>
      </c>
      <c r="C27" s="667"/>
      <c r="D27" s="168">
        <v>200</v>
      </c>
      <c r="E27" s="668">
        <v>-161</v>
      </c>
      <c r="F27" s="1334"/>
      <c r="G27" s="168"/>
      <c r="H27" s="714"/>
      <c r="I27" s="667"/>
      <c r="J27" s="168"/>
      <c r="K27" s="668"/>
      <c r="L27" s="1398">
        <f t="shared" si="0"/>
        <v>39</v>
      </c>
    </row>
    <row r="28" spans="1:13" ht="33" customHeight="1">
      <c r="A28" s="164" t="s">
        <v>92</v>
      </c>
      <c r="B28" s="660" t="s">
        <v>625</v>
      </c>
      <c r="C28" s="667">
        <v>3000</v>
      </c>
      <c r="D28" s="168">
        <v>3400</v>
      </c>
      <c r="E28" s="668">
        <v>4000</v>
      </c>
      <c r="F28" s="1334"/>
      <c r="G28" s="168"/>
      <c r="H28" s="714"/>
      <c r="I28" s="667"/>
      <c r="J28" s="168"/>
      <c r="K28" s="668"/>
      <c r="L28" s="1398">
        <f t="shared" si="0"/>
        <v>7400</v>
      </c>
    </row>
    <row r="29" spans="1:13" ht="33" customHeight="1">
      <c r="A29" s="164" t="s">
        <v>93</v>
      </c>
      <c r="B29" s="661" t="s">
        <v>196</v>
      </c>
      <c r="C29" s="667">
        <v>15000</v>
      </c>
      <c r="D29" s="168">
        <v>15000</v>
      </c>
      <c r="E29" s="668">
        <f>49+951</f>
        <v>1000</v>
      </c>
      <c r="F29" s="1334"/>
      <c r="G29" s="168"/>
      <c r="H29" s="714"/>
      <c r="I29" s="667"/>
      <c r="J29" s="168"/>
      <c r="K29" s="668"/>
      <c r="L29" s="1398">
        <f t="shared" si="0"/>
        <v>16000</v>
      </c>
    </row>
    <row r="30" spans="1:13" ht="22.5" customHeight="1">
      <c r="A30" s="164" t="s">
        <v>94</v>
      </c>
      <c r="B30" s="660" t="s">
        <v>178</v>
      </c>
      <c r="C30" s="667">
        <v>9000</v>
      </c>
      <c r="D30" s="168">
        <v>9000</v>
      </c>
      <c r="E30" s="668"/>
      <c r="F30" s="1334">
        <v>21000</v>
      </c>
      <c r="G30" s="168">
        <v>21000</v>
      </c>
      <c r="H30" s="714"/>
      <c r="I30" s="667"/>
      <c r="J30" s="168"/>
      <c r="K30" s="668"/>
      <c r="L30" s="1398">
        <f t="shared" si="0"/>
        <v>30000</v>
      </c>
    </row>
    <row r="31" spans="1:13" ht="22.5" customHeight="1">
      <c r="A31" s="164" t="s">
        <v>95</v>
      </c>
      <c r="B31" s="660" t="s">
        <v>463</v>
      </c>
      <c r="C31" s="667">
        <v>5000</v>
      </c>
      <c r="D31" s="168">
        <v>7685</v>
      </c>
      <c r="E31" s="668"/>
      <c r="F31" s="1334"/>
      <c r="G31" s="168"/>
      <c r="H31" s="714"/>
      <c r="I31" s="667"/>
      <c r="J31" s="168"/>
      <c r="K31" s="668"/>
      <c r="L31" s="1398">
        <f t="shared" si="0"/>
        <v>7685</v>
      </c>
    </row>
    <row r="32" spans="1:13" ht="21.75" customHeight="1">
      <c r="A32" s="164" t="s">
        <v>96</v>
      </c>
      <c r="B32" s="660" t="s">
        <v>464</v>
      </c>
      <c r="C32" s="667">
        <v>5000</v>
      </c>
      <c r="D32" s="168">
        <v>0</v>
      </c>
      <c r="E32" s="668"/>
      <c r="F32" s="1334"/>
      <c r="G32" s="168"/>
      <c r="H32" s="714"/>
      <c r="I32" s="667"/>
      <c r="J32" s="168"/>
      <c r="K32" s="668"/>
      <c r="L32" s="1398">
        <f t="shared" si="0"/>
        <v>0</v>
      </c>
    </row>
    <row r="33" spans="1:14" ht="33" customHeight="1">
      <c r="A33" s="164" t="s">
        <v>97</v>
      </c>
      <c r="B33" s="660" t="s">
        <v>179</v>
      </c>
      <c r="C33" s="667"/>
      <c r="D33" s="168">
        <v>12000</v>
      </c>
      <c r="E33" s="668"/>
      <c r="F33" s="1334"/>
      <c r="G33" s="168"/>
      <c r="H33" s="714"/>
      <c r="I33" s="667"/>
      <c r="J33" s="168"/>
      <c r="K33" s="668"/>
      <c r="L33" s="1398">
        <f t="shared" si="0"/>
        <v>12000</v>
      </c>
    </row>
    <row r="34" spans="1:14" ht="33" customHeight="1">
      <c r="A34" s="164" t="s">
        <v>112</v>
      </c>
      <c r="B34" s="660" t="s">
        <v>180</v>
      </c>
      <c r="C34" s="667">
        <v>2000</v>
      </c>
      <c r="D34" s="168">
        <v>2000</v>
      </c>
      <c r="E34" s="668"/>
      <c r="F34" s="1334"/>
      <c r="G34" s="168"/>
      <c r="H34" s="714"/>
      <c r="I34" s="667"/>
      <c r="J34" s="168"/>
      <c r="K34" s="668"/>
      <c r="L34" s="1398">
        <f t="shared" si="0"/>
        <v>2000</v>
      </c>
    </row>
    <row r="35" spans="1:14" ht="28.5" customHeight="1">
      <c r="A35" s="164" t="s">
        <v>113</v>
      </c>
      <c r="B35" s="660" t="s">
        <v>181</v>
      </c>
      <c r="C35" s="667">
        <v>3150</v>
      </c>
      <c r="D35" s="168">
        <v>3150</v>
      </c>
      <c r="E35" s="668"/>
      <c r="F35" s="1334"/>
      <c r="G35" s="168"/>
      <c r="H35" s="714"/>
      <c r="I35" s="667"/>
      <c r="J35" s="168"/>
      <c r="K35" s="668"/>
      <c r="L35" s="1398">
        <f t="shared" si="0"/>
        <v>3150</v>
      </c>
    </row>
    <row r="36" spans="1:14" s="19" customFormat="1" ht="28.5" customHeight="1">
      <c r="A36" s="164" t="s">
        <v>114</v>
      </c>
      <c r="B36" s="660" t="s">
        <v>182</v>
      </c>
      <c r="C36" s="667">
        <v>14000</v>
      </c>
      <c r="D36" s="168">
        <v>27036</v>
      </c>
      <c r="E36" s="668">
        <v>2800</v>
      </c>
      <c r="F36" s="1334"/>
      <c r="G36" s="168"/>
      <c r="H36" s="714"/>
      <c r="I36" s="667"/>
      <c r="J36" s="168"/>
      <c r="K36" s="668"/>
      <c r="L36" s="1398">
        <f t="shared" si="0"/>
        <v>29836</v>
      </c>
    </row>
    <row r="37" spans="1:14" s="19" customFormat="1" ht="24" customHeight="1">
      <c r="A37" s="164" t="s">
        <v>115</v>
      </c>
      <c r="B37" s="660" t="s">
        <v>183</v>
      </c>
      <c r="C37" s="667">
        <v>3650</v>
      </c>
      <c r="D37" s="168">
        <v>3650</v>
      </c>
      <c r="E37" s="668">
        <v>95</v>
      </c>
      <c r="F37" s="1334"/>
      <c r="G37" s="168"/>
      <c r="H37" s="714"/>
      <c r="I37" s="667"/>
      <c r="J37" s="168"/>
      <c r="K37" s="668"/>
      <c r="L37" s="1398">
        <f t="shared" si="0"/>
        <v>3745</v>
      </c>
    </row>
    <row r="38" spans="1:14" ht="19.5" customHeight="1">
      <c r="A38" s="164" t="s">
        <v>125</v>
      </c>
      <c r="B38" s="660" t="s">
        <v>184</v>
      </c>
      <c r="C38" s="667">
        <v>9000</v>
      </c>
      <c r="D38" s="168">
        <v>9000</v>
      </c>
      <c r="E38" s="668"/>
      <c r="F38" s="1334"/>
      <c r="G38" s="168"/>
      <c r="H38" s="714"/>
      <c r="I38" s="667"/>
      <c r="J38" s="168"/>
      <c r="K38" s="668"/>
      <c r="L38" s="1398">
        <f t="shared" si="0"/>
        <v>9000</v>
      </c>
    </row>
    <row r="39" spans="1:14" ht="19.5" customHeight="1">
      <c r="A39" s="164" t="s">
        <v>126</v>
      </c>
      <c r="B39" s="660" t="s">
        <v>465</v>
      </c>
      <c r="C39" s="667">
        <f>20000+21100</f>
        <v>41100</v>
      </c>
      <c r="D39" s="168">
        <v>7543</v>
      </c>
      <c r="E39" s="668">
        <v>-7543</v>
      </c>
      <c r="F39" s="1334"/>
      <c r="G39" s="168"/>
      <c r="H39" s="714"/>
      <c r="I39" s="667"/>
      <c r="J39" s="168"/>
      <c r="K39" s="668"/>
      <c r="L39" s="1398">
        <f t="shared" si="0"/>
        <v>0</v>
      </c>
    </row>
    <row r="40" spans="1:14" ht="19.5" customHeight="1">
      <c r="A40" s="164" t="s">
        <v>127</v>
      </c>
      <c r="B40" s="660" t="s">
        <v>186</v>
      </c>
      <c r="C40" s="667">
        <v>3500</v>
      </c>
      <c r="D40" s="168">
        <v>5500</v>
      </c>
      <c r="E40" s="668"/>
      <c r="F40" s="1334"/>
      <c r="G40" s="168"/>
      <c r="H40" s="714"/>
      <c r="I40" s="667"/>
      <c r="J40" s="168"/>
      <c r="K40" s="668"/>
      <c r="L40" s="1398">
        <f t="shared" si="0"/>
        <v>5500</v>
      </c>
      <c r="N40" s="24"/>
    </row>
    <row r="41" spans="1:14" ht="19.5" customHeight="1">
      <c r="A41" s="164" t="s">
        <v>128</v>
      </c>
      <c r="B41" s="660" t="s">
        <v>187</v>
      </c>
      <c r="C41" s="667">
        <v>1500</v>
      </c>
      <c r="D41" s="168">
        <v>1500</v>
      </c>
      <c r="E41" s="668">
        <v>500</v>
      </c>
      <c r="F41" s="1334"/>
      <c r="G41" s="168"/>
      <c r="H41" s="714"/>
      <c r="I41" s="667"/>
      <c r="J41" s="168"/>
      <c r="K41" s="668"/>
      <c r="L41" s="1398">
        <f t="shared" si="0"/>
        <v>2000</v>
      </c>
    </row>
    <row r="42" spans="1:14" ht="19.5" customHeight="1">
      <c r="A42" s="164" t="s">
        <v>130</v>
      </c>
      <c r="B42" s="660" t="s">
        <v>188</v>
      </c>
      <c r="C42" s="667">
        <v>3000</v>
      </c>
      <c r="D42" s="168">
        <v>3000</v>
      </c>
      <c r="E42" s="668">
        <v>-900</v>
      </c>
      <c r="F42" s="1334"/>
      <c r="G42" s="168"/>
      <c r="H42" s="714"/>
      <c r="I42" s="667"/>
      <c r="J42" s="168"/>
      <c r="K42" s="668"/>
      <c r="L42" s="1398">
        <f t="shared" si="0"/>
        <v>2100</v>
      </c>
      <c r="N42" s="12"/>
    </row>
    <row r="43" spans="1:14" s="19" customFormat="1" ht="33.75" customHeight="1">
      <c r="A43" s="164" t="s">
        <v>131</v>
      </c>
      <c r="B43" s="660" t="s">
        <v>140</v>
      </c>
      <c r="C43" s="667"/>
      <c r="D43" s="168">
        <v>4500</v>
      </c>
      <c r="E43" s="668"/>
      <c r="F43" s="1334"/>
      <c r="G43" s="168"/>
      <c r="H43" s="714"/>
      <c r="I43" s="667"/>
      <c r="J43" s="168"/>
      <c r="K43" s="668"/>
      <c r="L43" s="1398">
        <f t="shared" si="0"/>
        <v>4500</v>
      </c>
    </row>
    <row r="44" spans="1:14" s="19" customFormat="1" ht="25.5" customHeight="1">
      <c r="A44" s="164" t="s">
        <v>132</v>
      </c>
      <c r="B44" s="660" t="s">
        <v>141</v>
      </c>
      <c r="C44" s="667"/>
      <c r="D44" s="168">
        <v>2646</v>
      </c>
      <c r="E44" s="668"/>
      <c r="F44" s="1334"/>
      <c r="G44" s="168"/>
      <c r="H44" s="714"/>
      <c r="I44" s="667"/>
      <c r="J44" s="168"/>
      <c r="K44" s="668"/>
      <c r="L44" s="1398">
        <f t="shared" si="0"/>
        <v>2646</v>
      </c>
    </row>
    <row r="45" spans="1:14" s="19" customFormat="1" ht="25.5" customHeight="1">
      <c r="A45" s="164" t="s">
        <v>133</v>
      </c>
      <c r="B45" s="662" t="s">
        <v>147</v>
      </c>
      <c r="C45" s="667"/>
      <c r="D45" s="168">
        <v>1300</v>
      </c>
      <c r="E45" s="668">
        <v>1185</v>
      </c>
      <c r="F45" s="1334"/>
      <c r="G45" s="168"/>
      <c r="H45" s="714"/>
      <c r="I45" s="667"/>
      <c r="J45" s="168"/>
      <c r="K45" s="668"/>
      <c r="L45" s="1398">
        <f t="shared" si="0"/>
        <v>2485</v>
      </c>
    </row>
    <row r="46" spans="1:14" s="19" customFormat="1" ht="25.5" customHeight="1">
      <c r="A46" s="164" t="s">
        <v>134</v>
      </c>
      <c r="B46" s="662" t="s">
        <v>444</v>
      </c>
      <c r="C46" s="667"/>
      <c r="D46" s="168">
        <v>1004</v>
      </c>
      <c r="E46" s="668"/>
      <c r="F46" s="1334"/>
      <c r="G46" s="168"/>
      <c r="H46" s="714"/>
      <c r="I46" s="667"/>
      <c r="J46" s="168"/>
      <c r="K46" s="668"/>
      <c r="L46" s="1398">
        <f t="shared" si="0"/>
        <v>1004</v>
      </c>
    </row>
    <row r="47" spans="1:14" s="19" customFormat="1" ht="25.5" customHeight="1">
      <c r="A47" s="164" t="s">
        <v>135</v>
      </c>
      <c r="B47" s="662" t="s">
        <v>494</v>
      </c>
      <c r="C47" s="667"/>
      <c r="D47" s="168">
        <v>10000</v>
      </c>
      <c r="E47" s="668">
        <v>132</v>
      </c>
      <c r="F47" s="1334"/>
      <c r="G47" s="168"/>
      <c r="H47" s="714"/>
      <c r="I47" s="667"/>
      <c r="J47" s="168"/>
      <c r="K47" s="668"/>
      <c r="L47" s="1398">
        <f t="shared" si="0"/>
        <v>10132</v>
      </c>
    </row>
    <row r="48" spans="1:14" s="19" customFormat="1" ht="25.5" customHeight="1">
      <c r="A48" s="164" t="s">
        <v>136</v>
      </c>
      <c r="B48" s="662" t="s">
        <v>477</v>
      </c>
      <c r="C48" s="667"/>
      <c r="D48" s="168"/>
      <c r="E48" s="668"/>
      <c r="F48" s="1334"/>
      <c r="G48" s="168"/>
      <c r="H48" s="714"/>
      <c r="I48" s="667"/>
      <c r="J48" s="168"/>
      <c r="K48" s="668"/>
      <c r="L48" s="1398">
        <f t="shared" si="0"/>
        <v>0</v>
      </c>
    </row>
    <row r="49" spans="1:12" s="19" customFormat="1" ht="25.5" customHeight="1">
      <c r="A49" s="164" t="s">
        <v>137</v>
      </c>
      <c r="B49" s="662" t="s">
        <v>478</v>
      </c>
      <c r="C49" s="667"/>
      <c r="D49" s="168">
        <v>7300</v>
      </c>
      <c r="E49" s="668"/>
      <c r="F49" s="1334"/>
      <c r="G49" s="168"/>
      <c r="H49" s="714"/>
      <c r="I49" s="667"/>
      <c r="J49" s="168"/>
      <c r="K49" s="668"/>
      <c r="L49" s="1398">
        <f t="shared" si="0"/>
        <v>7300</v>
      </c>
    </row>
    <row r="50" spans="1:12" s="19" customFormat="1" ht="25.5" customHeight="1">
      <c r="A50" s="164" t="s">
        <v>138</v>
      </c>
      <c r="B50" s="662" t="s">
        <v>479</v>
      </c>
      <c r="C50" s="667"/>
      <c r="D50" s="168">
        <v>4885</v>
      </c>
      <c r="E50" s="668"/>
      <c r="F50" s="1334"/>
      <c r="G50" s="168"/>
      <c r="H50" s="714"/>
      <c r="I50" s="667"/>
      <c r="J50" s="168">
        <v>176</v>
      </c>
      <c r="K50" s="668"/>
      <c r="L50" s="1398">
        <f t="shared" si="0"/>
        <v>5061</v>
      </c>
    </row>
    <row r="51" spans="1:12" s="19" customFormat="1" ht="25.5" customHeight="1">
      <c r="A51" s="164" t="s">
        <v>563</v>
      </c>
      <c r="B51" s="662" t="s">
        <v>577</v>
      </c>
      <c r="C51" s="667"/>
      <c r="D51" s="168"/>
      <c r="E51" s="668"/>
      <c r="F51" s="1334"/>
      <c r="G51" s="168">
        <v>9654</v>
      </c>
      <c r="H51" s="714"/>
      <c r="I51" s="667"/>
      <c r="J51" s="168"/>
      <c r="K51" s="668"/>
      <c r="L51" s="1398">
        <f t="shared" si="0"/>
        <v>9654</v>
      </c>
    </row>
    <row r="52" spans="1:12" s="19" customFormat="1" ht="25.5" customHeight="1">
      <c r="A52" s="164" t="s">
        <v>144</v>
      </c>
      <c r="B52" s="662" t="s">
        <v>480</v>
      </c>
      <c r="C52" s="667"/>
      <c r="D52" s="168">
        <v>1200</v>
      </c>
      <c r="E52" s="668">
        <v>127</v>
      </c>
      <c r="F52" s="1334"/>
      <c r="G52" s="168"/>
      <c r="H52" s="714"/>
      <c r="I52" s="667"/>
      <c r="J52" s="168"/>
      <c r="K52" s="668"/>
      <c r="L52" s="1398">
        <f t="shared" si="0"/>
        <v>1327</v>
      </c>
    </row>
    <row r="53" spans="1:12" s="19" customFormat="1" ht="25.5" customHeight="1">
      <c r="A53" s="164" t="s">
        <v>145</v>
      </c>
      <c r="B53" s="660" t="s">
        <v>492</v>
      </c>
      <c r="C53" s="667"/>
      <c r="D53" s="168">
        <v>930</v>
      </c>
      <c r="E53" s="668">
        <v>-28</v>
      </c>
      <c r="F53" s="1334"/>
      <c r="G53" s="168"/>
      <c r="H53" s="714"/>
      <c r="I53" s="667"/>
      <c r="J53" s="168"/>
      <c r="K53" s="668"/>
      <c r="L53" s="1398">
        <f t="shared" si="0"/>
        <v>902</v>
      </c>
    </row>
    <row r="54" spans="1:12" s="19" customFormat="1" ht="25.5" customHeight="1">
      <c r="A54" s="164" t="s">
        <v>146</v>
      </c>
      <c r="B54" s="660" t="s">
        <v>493</v>
      </c>
      <c r="C54" s="667"/>
      <c r="D54" s="168">
        <v>300</v>
      </c>
      <c r="E54" s="668">
        <v>-25</v>
      </c>
      <c r="F54" s="1334"/>
      <c r="G54" s="168"/>
      <c r="H54" s="714"/>
      <c r="I54" s="667"/>
      <c r="J54" s="168"/>
      <c r="K54" s="668"/>
      <c r="L54" s="1398">
        <f t="shared" si="0"/>
        <v>275</v>
      </c>
    </row>
    <row r="55" spans="1:12" s="19" customFormat="1" ht="25.5" customHeight="1">
      <c r="A55" s="164" t="s">
        <v>560</v>
      </c>
      <c r="B55" s="660" t="s">
        <v>564</v>
      </c>
      <c r="C55" s="667"/>
      <c r="D55" s="168">
        <v>1700</v>
      </c>
      <c r="E55" s="668">
        <v>-18</v>
      </c>
      <c r="F55" s="1335"/>
      <c r="G55" s="170"/>
      <c r="H55" s="715"/>
      <c r="I55" s="669"/>
      <c r="J55" s="170"/>
      <c r="K55" s="670"/>
      <c r="L55" s="1398">
        <f t="shared" si="0"/>
        <v>1682</v>
      </c>
    </row>
    <row r="56" spans="1:12" s="19" customFormat="1" ht="25.5" customHeight="1">
      <c r="A56" s="164" t="s">
        <v>561</v>
      </c>
      <c r="B56" s="660" t="s">
        <v>562</v>
      </c>
      <c r="C56" s="667"/>
      <c r="D56" s="168">
        <v>1000</v>
      </c>
      <c r="E56" s="668">
        <v>38</v>
      </c>
      <c r="F56" s="1335"/>
      <c r="G56" s="170"/>
      <c r="H56" s="715"/>
      <c r="I56" s="669"/>
      <c r="J56" s="170"/>
      <c r="K56" s="670"/>
      <c r="L56" s="1398">
        <f t="shared" si="0"/>
        <v>1038</v>
      </c>
    </row>
    <row r="57" spans="1:12" s="19" customFormat="1" ht="33" customHeight="1">
      <c r="A57" s="164" t="s">
        <v>566</v>
      </c>
      <c r="B57" s="660" t="s">
        <v>567</v>
      </c>
      <c r="C57" s="667"/>
      <c r="D57" s="168">
        <v>3683</v>
      </c>
      <c r="E57" s="668"/>
      <c r="F57" s="1335"/>
      <c r="G57" s="170"/>
      <c r="H57" s="715"/>
      <c r="I57" s="669"/>
      <c r="J57" s="170"/>
      <c r="K57" s="670"/>
      <c r="L57" s="1398">
        <f t="shared" si="0"/>
        <v>3683</v>
      </c>
    </row>
    <row r="58" spans="1:12" s="19" customFormat="1" ht="25.5" customHeight="1">
      <c r="A58" s="164" t="s">
        <v>568</v>
      </c>
      <c r="B58" s="660" t="s">
        <v>569</v>
      </c>
      <c r="C58" s="667"/>
      <c r="D58" s="168">
        <v>146</v>
      </c>
      <c r="E58" s="668"/>
      <c r="F58" s="1335"/>
      <c r="G58" s="170"/>
      <c r="H58" s="715"/>
      <c r="I58" s="669"/>
      <c r="J58" s="170"/>
      <c r="K58" s="670"/>
      <c r="L58" s="1398">
        <f t="shared" si="0"/>
        <v>146</v>
      </c>
    </row>
    <row r="59" spans="1:12" s="19" customFormat="1" ht="31.5" customHeight="1">
      <c r="A59" s="164" t="s">
        <v>570</v>
      </c>
      <c r="B59" s="660" t="s">
        <v>571</v>
      </c>
      <c r="C59" s="667"/>
      <c r="D59" s="168">
        <v>1753</v>
      </c>
      <c r="E59" s="668"/>
      <c r="F59" s="1335"/>
      <c r="G59" s="170"/>
      <c r="H59" s="715"/>
      <c r="I59" s="669"/>
      <c r="J59" s="170"/>
      <c r="K59" s="670"/>
      <c r="L59" s="1398">
        <f t="shared" si="0"/>
        <v>1753</v>
      </c>
    </row>
    <row r="60" spans="1:12" s="19" customFormat="1" ht="25.5" customHeight="1">
      <c r="A60" s="164" t="s">
        <v>572</v>
      </c>
      <c r="B60" s="660" t="s">
        <v>573</v>
      </c>
      <c r="C60" s="667"/>
      <c r="D60" s="168">
        <v>40</v>
      </c>
      <c r="E60" s="668"/>
      <c r="F60" s="1335"/>
      <c r="G60" s="170"/>
      <c r="H60" s="715"/>
      <c r="I60" s="669"/>
      <c r="J60" s="170"/>
      <c r="K60" s="670"/>
      <c r="L60" s="1398">
        <f t="shared" si="0"/>
        <v>40</v>
      </c>
    </row>
    <row r="61" spans="1:12" s="19" customFormat="1" ht="25.5" customHeight="1">
      <c r="A61" s="710" t="s">
        <v>575</v>
      </c>
      <c r="B61" s="711" t="s">
        <v>576</v>
      </c>
      <c r="C61" s="677"/>
      <c r="D61" s="169">
        <v>345</v>
      </c>
      <c r="E61" s="712"/>
      <c r="F61" s="1076"/>
      <c r="G61" s="171"/>
      <c r="H61" s="169">
        <v>450</v>
      </c>
      <c r="I61" s="671"/>
      <c r="J61" s="171"/>
      <c r="K61" s="1400"/>
      <c r="L61" s="1398">
        <f t="shared" si="0"/>
        <v>795</v>
      </c>
    </row>
    <row r="62" spans="1:12" s="19" customFormat="1" ht="25.5" customHeight="1">
      <c r="A62" s="710" t="s">
        <v>583</v>
      </c>
      <c r="B62" s="660" t="s">
        <v>594</v>
      </c>
      <c r="C62" s="667"/>
      <c r="D62" s="168">
        <v>1579</v>
      </c>
      <c r="E62" s="668">
        <v>500</v>
      </c>
      <c r="F62" s="1076"/>
      <c r="G62" s="171"/>
      <c r="H62" s="716"/>
      <c r="I62" s="671"/>
      <c r="J62" s="171"/>
      <c r="K62" s="1400"/>
      <c r="L62" s="1398">
        <f t="shared" si="0"/>
        <v>2079</v>
      </c>
    </row>
    <row r="63" spans="1:12" s="19" customFormat="1" ht="25.5" customHeight="1">
      <c r="A63" s="710" t="s">
        <v>595</v>
      </c>
      <c r="B63" s="660" t="s">
        <v>596</v>
      </c>
      <c r="C63" s="667"/>
      <c r="D63" s="168">
        <v>3144</v>
      </c>
      <c r="E63" s="668">
        <v>243</v>
      </c>
      <c r="F63" s="1076"/>
      <c r="G63" s="171"/>
      <c r="H63" s="716"/>
      <c r="I63" s="671"/>
      <c r="J63" s="171"/>
      <c r="K63" s="1400"/>
      <c r="L63" s="1398">
        <f t="shared" si="0"/>
        <v>3387</v>
      </c>
    </row>
    <row r="64" spans="1:12" s="1338" customFormat="1" ht="25.5" customHeight="1">
      <c r="A64" s="1341" t="s">
        <v>597</v>
      </c>
      <c r="B64" s="660" t="s">
        <v>584</v>
      </c>
      <c r="C64" s="667"/>
      <c r="D64" s="168">
        <v>38</v>
      </c>
      <c r="E64" s="668"/>
      <c r="F64" s="1335"/>
      <c r="G64" s="170"/>
      <c r="H64" s="715"/>
      <c r="I64" s="669"/>
      <c r="J64" s="170"/>
      <c r="K64" s="670"/>
      <c r="L64" s="1398">
        <f t="shared" si="0"/>
        <v>38</v>
      </c>
    </row>
    <row r="65" spans="1:14" s="1338" customFormat="1" ht="25.5" customHeight="1">
      <c r="A65" s="1339" t="s">
        <v>603</v>
      </c>
      <c r="B65" s="660" t="s">
        <v>585</v>
      </c>
      <c r="C65" s="667"/>
      <c r="D65" s="168">
        <v>270</v>
      </c>
      <c r="E65" s="668"/>
      <c r="F65" s="1335"/>
      <c r="G65" s="168">
        <v>1000</v>
      </c>
      <c r="H65" s="714"/>
      <c r="I65" s="669"/>
      <c r="J65" s="170"/>
      <c r="K65" s="670"/>
      <c r="L65" s="1398">
        <f t="shared" ref="L65:L83" si="1">D65+G65+J65+E65+H65+K65</f>
        <v>1270</v>
      </c>
    </row>
    <row r="66" spans="1:14" s="1338" customFormat="1" ht="25.5" customHeight="1">
      <c r="A66" s="1397" t="s">
        <v>604</v>
      </c>
      <c r="B66" s="660" t="s">
        <v>593</v>
      </c>
      <c r="C66" s="667"/>
      <c r="D66" s="168">
        <v>200</v>
      </c>
      <c r="E66" s="668"/>
      <c r="F66" s="1335"/>
      <c r="G66" s="170"/>
      <c r="H66" s="715"/>
      <c r="I66" s="669"/>
      <c r="J66" s="170"/>
      <c r="K66" s="670"/>
      <c r="L66" s="1399">
        <f t="shared" si="1"/>
        <v>200</v>
      </c>
    </row>
    <row r="67" spans="1:14" s="1338" customFormat="1" ht="29.25" customHeight="1">
      <c r="A67" s="1401" t="s">
        <v>607</v>
      </c>
      <c r="B67" s="711" t="s">
        <v>621</v>
      </c>
      <c r="C67" s="677"/>
      <c r="D67" s="169">
        <v>516</v>
      </c>
      <c r="E67" s="712">
        <v>-516</v>
      </c>
      <c r="F67" s="1076"/>
      <c r="G67" s="171"/>
      <c r="H67" s="716"/>
      <c r="I67" s="671"/>
      <c r="J67" s="171"/>
      <c r="K67" s="1400"/>
      <c r="L67" s="1402">
        <f t="shared" si="1"/>
        <v>0</v>
      </c>
    </row>
    <row r="68" spans="1:14" s="1338" customFormat="1" ht="25.5" customHeight="1">
      <c r="A68" s="1401" t="s">
        <v>622</v>
      </c>
      <c r="B68" s="711" t="s">
        <v>624</v>
      </c>
      <c r="C68" s="677"/>
      <c r="D68" s="169"/>
      <c r="E68" s="712">
        <v>406</v>
      </c>
      <c r="F68" s="1076"/>
      <c r="G68" s="171"/>
      <c r="H68" s="716"/>
      <c r="I68" s="671"/>
      <c r="J68" s="171"/>
      <c r="K68" s="1400"/>
      <c r="L68" s="1402">
        <f t="shared" si="1"/>
        <v>406</v>
      </c>
    </row>
    <row r="69" spans="1:14" s="1338" customFormat="1" ht="32.25" customHeight="1" thickBot="1">
      <c r="A69" s="1401" t="s">
        <v>623</v>
      </c>
      <c r="B69" s="711" t="s">
        <v>620</v>
      </c>
      <c r="C69" s="677"/>
      <c r="D69" s="169"/>
      <c r="E69" s="712">
        <v>296</v>
      </c>
      <c r="F69" s="1076"/>
      <c r="G69" s="171"/>
      <c r="H69" s="716"/>
      <c r="I69" s="671"/>
      <c r="J69" s="171"/>
      <c r="K69" s="1400"/>
      <c r="L69" s="1402">
        <f t="shared" si="1"/>
        <v>296</v>
      </c>
    </row>
    <row r="70" spans="1:14" s="19" customFormat="1" ht="19.5" customHeight="1" thickBot="1">
      <c r="A70" s="1326" t="s">
        <v>66</v>
      </c>
      <c r="B70" s="665" t="s">
        <v>148</v>
      </c>
      <c r="C70" s="1327">
        <f>SUM(C7:C61)</f>
        <v>375200</v>
      </c>
      <c r="D70" s="1328">
        <f>SUM(D7:D69)</f>
        <v>464576</v>
      </c>
      <c r="E70" s="1328">
        <f>SUM(E7:E69)</f>
        <v>-22200</v>
      </c>
      <c r="F70" s="1327">
        <f>SUM(F7:F61)</f>
        <v>34000</v>
      </c>
      <c r="G70" s="1328">
        <f>SUM(G7:G69)</f>
        <v>44654</v>
      </c>
      <c r="H70" s="1329">
        <f>SUM(H7:H66)</f>
        <v>450</v>
      </c>
      <c r="I70" s="1330">
        <f>SUM(I7:I61)</f>
        <v>0</v>
      </c>
      <c r="J70" s="1328">
        <f>SUM(J7:J61)</f>
        <v>176</v>
      </c>
      <c r="K70" s="1331">
        <f>SUM(K7:K61)</f>
        <v>0</v>
      </c>
      <c r="L70" s="1332">
        <f>SUM(L7:L69)</f>
        <v>487656</v>
      </c>
      <c r="N70" s="13"/>
    </row>
    <row r="71" spans="1:14" s="19" customFormat="1" ht="27.75" customHeight="1">
      <c r="A71" s="165" t="s">
        <v>71</v>
      </c>
      <c r="B71" s="664" t="s">
        <v>432</v>
      </c>
      <c r="C71" s="672"/>
      <c r="D71" s="167">
        <v>6350</v>
      </c>
      <c r="E71" s="690"/>
      <c r="F71" s="672"/>
      <c r="G71" s="673"/>
      <c r="H71" s="994"/>
      <c r="I71" s="674">
        <v>102355</v>
      </c>
      <c r="J71" s="167">
        <v>102355</v>
      </c>
      <c r="K71" s="719"/>
      <c r="L71" s="725">
        <f t="shared" si="1"/>
        <v>108705</v>
      </c>
      <c r="N71" s="13"/>
    </row>
    <row r="72" spans="1:14" s="19" customFormat="1" ht="24" customHeight="1">
      <c r="A72" s="164" t="s">
        <v>72</v>
      </c>
      <c r="B72" s="662" t="s">
        <v>129</v>
      </c>
      <c r="C72" s="667"/>
      <c r="D72" s="168">
        <v>39121</v>
      </c>
      <c r="E72" s="668"/>
      <c r="F72" s="669"/>
      <c r="G72" s="168">
        <v>1348</v>
      </c>
      <c r="H72" s="714"/>
      <c r="I72" s="667">
        <v>46729</v>
      </c>
      <c r="J72" s="168">
        <v>46729</v>
      </c>
      <c r="K72" s="714">
        <v>-21796</v>
      </c>
      <c r="L72" s="725">
        <f t="shared" si="1"/>
        <v>65402</v>
      </c>
      <c r="N72" s="13"/>
    </row>
    <row r="73" spans="1:14" s="19" customFormat="1" ht="24" customHeight="1">
      <c r="A73" s="164" t="s">
        <v>73</v>
      </c>
      <c r="B73" s="662" t="s">
        <v>123</v>
      </c>
      <c r="C73" s="669"/>
      <c r="D73" s="170"/>
      <c r="E73" s="670"/>
      <c r="F73" s="669"/>
      <c r="G73" s="170"/>
      <c r="H73" s="715"/>
      <c r="I73" s="667">
        <v>16864</v>
      </c>
      <c r="J73" s="168">
        <v>16864</v>
      </c>
      <c r="K73" s="714"/>
      <c r="L73" s="725">
        <f t="shared" si="1"/>
        <v>16864</v>
      </c>
      <c r="N73" s="13"/>
    </row>
    <row r="74" spans="1:14" s="19" customFormat="1" ht="24" customHeight="1">
      <c r="A74" s="164" t="s">
        <v>74</v>
      </c>
      <c r="B74" s="663" t="s">
        <v>191</v>
      </c>
      <c r="C74" s="669"/>
      <c r="D74" s="170"/>
      <c r="E74" s="670"/>
      <c r="F74" s="669"/>
      <c r="G74" s="170"/>
      <c r="H74" s="715"/>
      <c r="I74" s="667">
        <v>2259</v>
      </c>
      <c r="J74" s="168">
        <v>2711</v>
      </c>
      <c r="K74" s="714"/>
      <c r="L74" s="725">
        <f t="shared" si="1"/>
        <v>2711</v>
      </c>
      <c r="N74" s="13"/>
    </row>
    <row r="75" spans="1:14" s="19" customFormat="1" ht="24" customHeight="1">
      <c r="A75" s="165" t="s">
        <v>75</v>
      </c>
      <c r="B75" s="662" t="s">
        <v>445</v>
      </c>
      <c r="C75" s="669"/>
      <c r="D75" s="168">
        <v>31</v>
      </c>
      <c r="E75" s="668"/>
      <c r="F75" s="669"/>
      <c r="G75" s="170"/>
      <c r="H75" s="715"/>
      <c r="I75" s="667">
        <v>3937</v>
      </c>
      <c r="J75" s="168">
        <v>3937</v>
      </c>
      <c r="K75" s="714"/>
      <c r="L75" s="725">
        <f t="shared" si="1"/>
        <v>3968</v>
      </c>
      <c r="N75" s="13"/>
    </row>
    <row r="76" spans="1:14" s="19" customFormat="1" ht="24" customHeight="1">
      <c r="A76" s="676" t="s">
        <v>76</v>
      </c>
      <c r="B76" s="663" t="s">
        <v>477</v>
      </c>
      <c r="C76" s="671"/>
      <c r="D76" s="169">
        <v>18851</v>
      </c>
      <c r="E76" s="712">
        <v>-1651</v>
      </c>
      <c r="F76" s="671"/>
      <c r="G76" s="171"/>
      <c r="H76" s="716"/>
      <c r="I76" s="677"/>
      <c r="J76" s="169"/>
      <c r="K76" s="1564"/>
      <c r="L76" s="725">
        <f t="shared" si="1"/>
        <v>17200</v>
      </c>
      <c r="N76" s="13"/>
    </row>
    <row r="77" spans="1:14" s="19" customFormat="1" ht="24" customHeight="1" thickBot="1">
      <c r="A77" s="676" t="s">
        <v>77</v>
      </c>
      <c r="B77" s="663" t="s">
        <v>619</v>
      </c>
      <c r="C77" s="677"/>
      <c r="D77" s="169"/>
      <c r="E77" s="712">
        <v>516</v>
      </c>
      <c r="F77" s="671"/>
      <c r="G77" s="171"/>
      <c r="H77" s="716"/>
      <c r="I77" s="671"/>
      <c r="J77" s="171"/>
      <c r="K77" s="716"/>
      <c r="L77" s="725">
        <f t="shared" si="1"/>
        <v>516</v>
      </c>
      <c r="N77" s="13"/>
    </row>
    <row r="78" spans="1:14" s="19" customFormat="1" ht="26.25" customHeight="1" thickBot="1">
      <c r="A78" s="414" t="s">
        <v>68</v>
      </c>
      <c r="B78" s="665" t="s">
        <v>481</v>
      </c>
      <c r="C78" s="675">
        <f t="shared" ref="C78:L78" si="2">SUM(C71:C77)</f>
        <v>0</v>
      </c>
      <c r="D78" s="172">
        <f t="shared" si="2"/>
        <v>64353</v>
      </c>
      <c r="E78" s="173">
        <f t="shared" si="2"/>
        <v>-1135</v>
      </c>
      <c r="F78" s="675">
        <f t="shared" si="2"/>
        <v>0</v>
      </c>
      <c r="G78" s="172">
        <f t="shared" si="2"/>
        <v>1348</v>
      </c>
      <c r="H78" s="720">
        <f t="shared" si="2"/>
        <v>0</v>
      </c>
      <c r="I78" s="675">
        <f t="shared" si="2"/>
        <v>172144</v>
      </c>
      <c r="J78" s="172">
        <f t="shared" si="2"/>
        <v>172596</v>
      </c>
      <c r="K78" s="720">
        <f t="shared" si="2"/>
        <v>-21796</v>
      </c>
      <c r="L78" s="173">
        <f t="shared" si="2"/>
        <v>215366</v>
      </c>
      <c r="N78" s="13"/>
    </row>
    <row r="79" spans="1:14" s="19" customFormat="1" ht="27" customHeight="1">
      <c r="A79" s="165" t="s">
        <v>71</v>
      </c>
      <c r="B79" s="664" t="s">
        <v>190</v>
      </c>
      <c r="C79" s="674"/>
      <c r="D79" s="167">
        <v>40102</v>
      </c>
      <c r="E79" s="691">
        <v>-3000</v>
      </c>
      <c r="F79" s="674"/>
      <c r="G79" s="167"/>
      <c r="H79" s="719"/>
      <c r="I79" s="674">
        <v>60000</v>
      </c>
      <c r="J79" s="167">
        <v>60000</v>
      </c>
      <c r="K79" s="719">
        <v>-794</v>
      </c>
      <c r="L79" s="725">
        <f t="shared" si="1"/>
        <v>96308</v>
      </c>
      <c r="N79" s="13"/>
    </row>
    <row r="80" spans="1:14" ht="27" customHeight="1">
      <c r="A80" s="164" t="s">
        <v>72</v>
      </c>
      <c r="B80" s="662" t="s">
        <v>67</v>
      </c>
      <c r="C80" s="667"/>
      <c r="D80" s="168">
        <v>41073</v>
      </c>
      <c r="E80" s="691"/>
      <c r="F80" s="667"/>
      <c r="G80" s="168"/>
      <c r="H80" s="714"/>
      <c r="I80" s="667">
        <v>159509</v>
      </c>
      <c r="J80" s="168">
        <v>159509</v>
      </c>
      <c r="K80" s="714">
        <f>-24219-4000-6462</f>
        <v>-34681</v>
      </c>
      <c r="L80" s="725">
        <f t="shared" si="1"/>
        <v>165901</v>
      </c>
    </row>
    <row r="81" spans="1:12" ht="34.5" customHeight="1">
      <c r="A81" s="165" t="s">
        <v>73</v>
      </c>
      <c r="B81" s="662" t="s">
        <v>185</v>
      </c>
      <c r="C81" s="667"/>
      <c r="D81" s="168">
        <v>76000</v>
      </c>
      <c r="E81" s="691"/>
      <c r="F81" s="692"/>
      <c r="G81" s="174"/>
      <c r="H81" s="721"/>
      <c r="I81" s="692"/>
      <c r="J81" s="174"/>
      <c r="K81" s="721"/>
      <c r="L81" s="725">
        <f t="shared" si="1"/>
        <v>76000</v>
      </c>
    </row>
    <row r="82" spans="1:12" ht="33" customHeight="1">
      <c r="A82" s="164" t="s">
        <v>74</v>
      </c>
      <c r="B82" s="662" t="s">
        <v>495</v>
      </c>
      <c r="C82" s="667"/>
      <c r="D82" s="168">
        <v>37520</v>
      </c>
      <c r="E82" s="691"/>
      <c r="F82" s="692"/>
      <c r="G82" s="174"/>
      <c r="H82" s="721"/>
      <c r="I82" s="692"/>
      <c r="J82" s="174"/>
      <c r="K82" s="721"/>
      <c r="L82" s="725">
        <f t="shared" si="1"/>
        <v>37520</v>
      </c>
    </row>
    <row r="83" spans="1:12" ht="27" customHeight="1" thickBot="1">
      <c r="A83" s="676" t="s">
        <v>75</v>
      </c>
      <c r="B83" s="663" t="s">
        <v>189</v>
      </c>
      <c r="C83" s="677"/>
      <c r="D83" s="169">
        <v>1600</v>
      </c>
      <c r="E83" s="691">
        <v>-69</v>
      </c>
      <c r="F83" s="693"/>
      <c r="G83" s="175"/>
      <c r="H83" s="995"/>
      <c r="I83" s="694"/>
      <c r="J83" s="67"/>
      <c r="K83" s="722"/>
      <c r="L83" s="725">
        <f t="shared" si="1"/>
        <v>1531</v>
      </c>
    </row>
    <row r="84" spans="1:12" ht="30" customHeight="1" thickBot="1">
      <c r="A84" s="414" t="s">
        <v>150</v>
      </c>
      <c r="B84" s="665" t="s">
        <v>195</v>
      </c>
      <c r="C84" s="675">
        <f t="shared" ref="C84:L84" si="3">SUM(C79:C83)</f>
        <v>0</v>
      </c>
      <c r="D84" s="172">
        <f t="shared" si="3"/>
        <v>196295</v>
      </c>
      <c r="E84" s="173">
        <f t="shared" si="3"/>
        <v>-3069</v>
      </c>
      <c r="F84" s="675">
        <f t="shared" si="3"/>
        <v>0</v>
      </c>
      <c r="G84" s="172">
        <f t="shared" si="3"/>
        <v>0</v>
      </c>
      <c r="H84" s="720">
        <f t="shared" si="3"/>
        <v>0</v>
      </c>
      <c r="I84" s="675">
        <f t="shared" si="3"/>
        <v>219509</v>
      </c>
      <c r="J84" s="172">
        <f t="shared" si="3"/>
        <v>219509</v>
      </c>
      <c r="K84" s="720">
        <f t="shared" si="3"/>
        <v>-35475</v>
      </c>
      <c r="L84" s="173">
        <f t="shared" si="3"/>
        <v>377260</v>
      </c>
    </row>
    <row r="85" spans="1:12" ht="26.25" customHeight="1" thickBot="1">
      <c r="A85" s="183" t="s">
        <v>194</v>
      </c>
      <c r="B85" s="666" t="s">
        <v>192</v>
      </c>
      <c r="C85" s="678">
        <f t="shared" ref="C85:L85" si="4">C70+C78+C84</f>
        <v>375200</v>
      </c>
      <c r="D85" s="184">
        <f t="shared" si="4"/>
        <v>725224</v>
      </c>
      <c r="E85" s="185">
        <f t="shared" si="4"/>
        <v>-26404</v>
      </c>
      <c r="F85" s="678">
        <f t="shared" si="4"/>
        <v>34000</v>
      </c>
      <c r="G85" s="184">
        <f t="shared" si="4"/>
        <v>46002</v>
      </c>
      <c r="H85" s="717">
        <f t="shared" si="4"/>
        <v>450</v>
      </c>
      <c r="I85" s="678">
        <f t="shared" si="4"/>
        <v>391653</v>
      </c>
      <c r="J85" s="184">
        <f t="shared" si="4"/>
        <v>392281</v>
      </c>
      <c r="K85" s="717">
        <f t="shared" si="4"/>
        <v>-57271</v>
      </c>
      <c r="L85" s="729">
        <f t="shared" si="4"/>
        <v>1080282</v>
      </c>
    </row>
    <row r="86" spans="1:12" s="64" customFormat="1">
      <c r="C86" s="65"/>
      <c r="D86" s="65"/>
      <c r="E86" s="65"/>
      <c r="F86" s="65"/>
      <c r="G86" s="65"/>
      <c r="H86" s="65"/>
      <c r="I86" s="65"/>
      <c r="J86" s="65"/>
      <c r="K86" s="65"/>
      <c r="L86" s="66"/>
    </row>
    <row r="87" spans="1:12" s="64" customFormat="1">
      <c r="C87" s="65"/>
      <c r="D87" s="65"/>
      <c r="E87" s="65"/>
      <c r="F87" s="65"/>
      <c r="G87" s="65"/>
      <c r="H87" s="65"/>
      <c r="I87" s="65"/>
      <c r="J87" s="65"/>
      <c r="K87" s="65"/>
      <c r="L87" s="66"/>
    </row>
    <row r="88" spans="1:12" s="64" customFormat="1">
      <c r="B88" s="75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s="64" customFormat="1"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 s="64" customFormat="1">
      <c r="C90" s="66"/>
      <c r="D90" s="66"/>
      <c r="E90" s="66"/>
      <c r="F90" s="66"/>
      <c r="G90" s="66"/>
      <c r="H90" s="66"/>
      <c r="I90" s="66"/>
      <c r="J90" s="66"/>
      <c r="K90" s="66"/>
    </row>
  </sheetData>
  <mergeCells count="7">
    <mergeCell ref="A1:L1"/>
    <mergeCell ref="A3:A5"/>
    <mergeCell ref="B3:B5"/>
    <mergeCell ref="C3:L3"/>
    <mergeCell ref="C4:E4"/>
    <mergeCell ref="F4:H4"/>
    <mergeCell ref="I4:K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0" orientation="landscape" r:id="rId1"/>
  <headerFooter scaleWithDoc="0" alignWithMargins="0">
    <oddHeader xml:space="preserve">&amp;R&amp;"Times New Roman CE,Dőlt"&amp;12 6. melléklet a ..../2013.(...) önkormányzati rendelethez&amp;"Times New Roman CE,Normál"&amp;10
</oddHeader>
  </headerFooter>
  <rowBreaks count="2" manualBreakCount="2">
    <brk id="33" max="11" man="1"/>
    <brk id="7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74"/>
  <sheetViews>
    <sheetView topLeftCell="A37" zoomScaleNormal="100" workbookViewId="0">
      <selection activeCell="F40" sqref="F40"/>
    </sheetView>
  </sheetViews>
  <sheetFormatPr defaultColWidth="10.6640625" defaultRowHeight="12.75"/>
  <cols>
    <col min="1" max="1" width="8.5" style="13" customWidth="1"/>
    <col min="2" max="2" width="71" style="13" customWidth="1"/>
    <col min="3" max="4" width="17.83203125" style="13" customWidth="1"/>
    <col min="5" max="5" width="18.5" style="12" customWidth="1"/>
    <col min="6" max="6" width="18.33203125" style="13" customWidth="1"/>
    <col min="7" max="16384" width="10.6640625" style="13"/>
  </cols>
  <sheetData>
    <row r="1" spans="1:6" ht="9.75" customHeight="1">
      <c r="A1" s="16"/>
      <c r="B1" s="20"/>
      <c r="C1" s="21"/>
      <c r="D1" s="21"/>
      <c r="E1" s="1321"/>
    </row>
    <row r="2" spans="1:6" ht="24.75" customHeight="1">
      <c r="A2" s="1651" t="s">
        <v>601</v>
      </c>
      <c r="B2" s="1651"/>
      <c r="C2" s="1651"/>
      <c r="D2" s="1651"/>
      <c r="E2" s="1651"/>
      <c r="F2" s="1651"/>
    </row>
    <row r="3" spans="1:6" ht="20.25" customHeight="1">
      <c r="A3" s="1651"/>
      <c r="B3" s="1651"/>
      <c r="C3" s="1651"/>
      <c r="D3" s="1651"/>
      <c r="E3" s="1651"/>
      <c r="F3" s="1651"/>
    </row>
    <row r="4" spans="1:6" ht="24" customHeight="1" thickBot="1">
      <c r="A4" s="29"/>
      <c r="B4" s="25"/>
      <c r="C4" s="25"/>
      <c r="D4" s="25"/>
      <c r="E4" s="1322"/>
      <c r="F4" s="25"/>
    </row>
    <row r="5" spans="1:6" s="698" customFormat="1" ht="50.25" customHeight="1" thickBot="1">
      <c r="A5" s="695" t="s">
        <v>70</v>
      </c>
      <c r="B5" s="696" t="s">
        <v>4</v>
      </c>
      <c r="C5" s="697" t="s">
        <v>104</v>
      </c>
      <c r="D5" s="697" t="s">
        <v>471</v>
      </c>
      <c r="E5" s="1323" t="s">
        <v>618</v>
      </c>
      <c r="F5" s="697" t="s">
        <v>471</v>
      </c>
    </row>
    <row r="6" spans="1:6" s="17" customFormat="1" ht="24.75" customHeight="1">
      <c r="A6" s="686" t="s">
        <v>71</v>
      </c>
      <c r="B6" s="681" t="s">
        <v>151</v>
      </c>
      <c r="C6" s="1162">
        <v>20000</v>
      </c>
      <c r="D6" s="1163">
        <v>41830</v>
      </c>
      <c r="E6" s="1324"/>
      <c r="F6" s="1164">
        <f>D6+E6</f>
        <v>41830</v>
      </c>
    </row>
    <row r="7" spans="1:6" s="17" customFormat="1" ht="20.25" customHeight="1">
      <c r="A7" s="687" t="s">
        <v>72</v>
      </c>
      <c r="B7" s="682" t="s">
        <v>466</v>
      </c>
      <c r="C7" s="679">
        <v>2000</v>
      </c>
      <c r="D7" s="63">
        <v>12000</v>
      </c>
      <c r="E7" s="1160"/>
      <c r="F7" s="699">
        <f t="shared" ref="F7:F36" si="0">D7+E7</f>
        <v>12000</v>
      </c>
    </row>
    <row r="8" spans="1:6" s="17" customFormat="1" ht="20.25" customHeight="1">
      <c r="A8" s="687" t="s">
        <v>73</v>
      </c>
      <c r="B8" s="682" t="s">
        <v>468</v>
      </c>
      <c r="C8" s="679">
        <v>10000</v>
      </c>
      <c r="D8" s="63">
        <v>10000</v>
      </c>
      <c r="E8" s="1160"/>
      <c r="F8" s="699">
        <f t="shared" si="0"/>
        <v>10000</v>
      </c>
    </row>
    <row r="9" spans="1:6" s="17" customFormat="1" ht="20.25" customHeight="1">
      <c r="A9" s="687" t="s">
        <v>74</v>
      </c>
      <c r="B9" s="682" t="s">
        <v>467</v>
      </c>
      <c r="C9" s="679">
        <v>11600</v>
      </c>
      <c r="D9" s="63">
        <v>11491</v>
      </c>
      <c r="E9" s="1160"/>
      <c r="F9" s="699">
        <f t="shared" si="0"/>
        <v>11491</v>
      </c>
    </row>
    <row r="10" spans="1:6" s="17" customFormat="1" ht="20.25" customHeight="1">
      <c r="A10" s="687" t="s">
        <v>75</v>
      </c>
      <c r="B10" s="683" t="s">
        <v>152</v>
      </c>
      <c r="C10" s="679">
        <v>5000</v>
      </c>
      <c r="D10" s="63">
        <v>3706</v>
      </c>
      <c r="E10" s="1160"/>
      <c r="F10" s="699">
        <f t="shared" si="0"/>
        <v>3706</v>
      </c>
    </row>
    <row r="11" spans="1:6" s="17" customFormat="1" ht="20.25" customHeight="1">
      <c r="A11" s="687" t="s">
        <v>76</v>
      </c>
      <c r="B11" s="684" t="s">
        <v>153</v>
      </c>
      <c r="C11" s="679">
        <v>1500</v>
      </c>
      <c r="D11" s="63">
        <v>2794</v>
      </c>
      <c r="E11" s="1160"/>
      <c r="F11" s="699">
        <f t="shared" si="0"/>
        <v>2794</v>
      </c>
    </row>
    <row r="12" spans="1:6" s="17" customFormat="1" ht="20.25" customHeight="1">
      <c r="A12" s="687" t="s">
        <v>77</v>
      </c>
      <c r="B12" s="684" t="s">
        <v>154</v>
      </c>
      <c r="C12" s="679">
        <v>19520</v>
      </c>
      <c r="D12" s="63">
        <v>23320</v>
      </c>
      <c r="E12" s="1160"/>
      <c r="F12" s="699">
        <f t="shared" si="0"/>
        <v>23320</v>
      </c>
    </row>
    <row r="13" spans="1:6" s="17" customFormat="1" ht="20.25" customHeight="1">
      <c r="A13" s="687" t="s">
        <v>78</v>
      </c>
      <c r="B13" s="684" t="s">
        <v>469</v>
      </c>
      <c r="C13" s="679">
        <v>4000</v>
      </c>
      <c r="D13" s="63">
        <v>4109</v>
      </c>
      <c r="E13" s="1160"/>
      <c r="F13" s="699">
        <f t="shared" si="0"/>
        <v>4109</v>
      </c>
    </row>
    <row r="14" spans="1:6" s="17" customFormat="1" ht="20.25" customHeight="1">
      <c r="A14" s="687" t="s">
        <v>79</v>
      </c>
      <c r="B14" s="684" t="s">
        <v>155</v>
      </c>
      <c r="C14" s="679">
        <v>16000</v>
      </c>
      <c r="D14" s="63">
        <v>18000</v>
      </c>
      <c r="E14" s="1160"/>
      <c r="F14" s="699">
        <f t="shared" si="0"/>
        <v>18000</v>
      </c>
    </row>
    <row r="15" spans="1:6" s="17" customFormat="1" ht="20.25" customHeight="1">
      <c r="A15" s="687" t="s">
        <v>80</v>
      </c>
      <c r="B15" s="684" t="s">
        <v>156</v>
      </c>
      <c r="C15" s="679">
        <v>600</v>
      </c>
      <c r="D15" s="63">
        <v>1740</v>
      </c>
      <c r="E15" s="1325"/>
      <c r="F15" s="699">
        <f t="shared" si="0"/>
        <v>1740</v>
      </c>
    </row>
    <row r="16" spans="1:6" s="17" customFormat="1" ht="20.25" customHeight="1">
      <c r="A16" s="687" t="s">
        <v>81</v>
      </c>
      <c r="B16" s="684" t="s">
        <v>157</v>
      </c>
      <c r="C16" s="679">
        <v>150</v>
      </c>
      <c r="D16" s="63">
        <v>150</v>
      </c>
      <c r="E16" s="1160"/>
      <c r="F16" s="699">
        <f t="shared" si="0"/>
        <v>150</v>
      </c>
    </row>
    <row r="17" spans="1:6" s="17" customFormat="1" ht="20.25" customHeight="1">
      <c r="A17" s="687" t="s">
        <v>82</v>
      </c>
      <c r="B17" s="684" t="s">
        <v>158</v>
      </c>
      <c r="C17" s="679">
        <v>870</v>
      </c>
      <c r="D17" s="63">
        <v>802</v>
      </c>
      <c r="E17" s="1160"/>
      <c r="F17" s="699">
        <f t="shared" si="0"/>
        <v>802</v>
      </c>
    </row>
    <row r="18" spans="1:6" s="17" customFormat="1" ht="29.25" customHeight="1">
      <c r="A18" s="687" t="s">
        <v>83</v>
      </c>
      <c r="B18" s="684" t="s">
        <v>442</v>
      </c>
      <c r="C18" s="679">
        <v>1000</v>
      </c>
      <c r="D18" s="63">
        <v>0</v>
      </c>
      <c r="E18" s="1160">
        <v>0</v>
      </c>
      <c r="F18" s="699">
        <f t="shared" si="0"/>
        <v>0</v>
      </c>
    </row>
    <row r="19" spans="1:6" s="17" customFormat="1" ht="20.25" customHeight="1">
      <c r="A19" s="687" t="s">
        <v>84</v>
      </c>
      <c r="B19" s="684" t="s">
        <v>159</v>
      </c>
      <c r="C19" s="679">
        <v>500</v>
      </c>
      <c r="D19" s="63">
        <v>500</v>
      </c>
      <c r="E19" s="1160"/>
      <c r="F19" s="699">
        <f t="shared" si="0"/>
        <v>500</v>
      </c>
    </row>
    <row r="20" spans="1:6" s="17" customFormat="1" ht="20.25" customHeight="1">
      <c r="A20" s="687" t="s">
        <v>85</v>
      </c>
      <c r="B20" s="684" t="s">
        <v>160</v>
      </c>
      <c r="C20" s="679">
        <v>1700</v>
      </c>
      <c r="D20" s="63">
        <v>1700</v>
      </c>
      <c r="E20" s="1160"/>
      <c r="F20" s="699">
        <f t="shared" si="0"/>
        <v>1700</v>
      </c>
    </row>
    <row r="21" spans="1:6" s="17" customFormat="1" ht="20.25" customHeight="1">
      <c r="A21" s="687" t="s">
        <v>86</v>
      </c>
      <c r="B21" s="684" t="s">
        <v>161</v>
      </c>
      <c r="C21" s="679">
        <v>9400</v>
      </c>
      <c r="D21" s="63">
        <v>9400</v>
      </c>
      <c r="E21" s="1160"/>
      <c r="F21" s="699">
        <f t="shared" si="0"/>
        <v>9400</v>
      </c>
    </row>
    <row r="22" spans="1:6" s="17" customFormat="1" ht="20.25" customHeight="1">
      <c r="A22" s="687" t="s">
        <v>87</v>
      </c>
      <c r="B22" s="684" t="s">
        <v>162</v>
      </c>
      <c r="C22" s="679">
        <v>6200</v>
      </c>
      <c r="D22" s="63">
        <v>4550</v>
      </c>
      <c r="E22" s="1160"/>
      <c r="F22" s="699">
        <f t="shared" si="0"/>
        <v>4550</v>
      </c>
    </row>
    <row r="23" spans="1:6" s="17" customFormat="1" ht="20.25" customHeight="1">
      <c r="A23" s="687" t="s">
        <v>88</v>
      </c>
      <c r="B23" s="684" t="s">
        <v>165</v>
      </c>
      <c r="C23" s="679">
        <v>3500</v>
      </c>
      <c r="D23" s="63">
        <v>3500</v>
      </c>
      <c r="E23" s="1160"/>
      <c r="F23" s="699">
        <f t="shared" si="0"/>
        <v>3500</v>
      </c>
    </row>
    <row r="24" spans="1:6" s="17" customFormat="1" ht="33.75" customHeight="1">
      <c r="A24" s="687" t="s">
        <v>89</v>
      </c>
      <c r="B24" s="684" t="s">
        <v>431</v>
      </c>
      <c r="C24" s="679">
        <v>520</v>
      </c>
      <c r="D24" s="63">
        <v>520</v>
      </c>
      <c r="E24" s="1160"/>
      <c r="F24" s="699">
        <f t="shared" si="0"/>
        <v>520</v>
      </c>
    </row>
    <row r="25" spans="1:6" s="17" customFormat="1" ht="20.25" customHeight="1">
      <c r="A25" s="687" t="s">
        <v>90</v>
      </c>
      <c r="B25" s="684" t="s">
        <v>163</v>
      </c>
      <c r="C25" s="679">
        <v>10000</v>
      </c>
      <c r="D25" s="63">
        <v>10000</v>
      </c>
      <c r="E25" s="1160"/>
      <c r="F25" s="699">
        <f t="shared" si="0"/>
        <v>10000</v>
      </c>
    </row>
    <row r="26" spans="1:6" s="17" customFormat="1" ht="32.25" customHeight="1">
      <c r="A26" s="687" t="s">
        <v>91</v>
      </c>
      <c r="B26" s="684" t="s">
        <v>164</v>
      </c>
      <c r="C26" s="679">
        <v>6000</v>
      </c>
      <c r="D26" s="63">
        <v>6000</v>
      </c>
      <c r="E26" s="1160"/>
      <c r="F26" s="699">
        <f t="shared" si="0"/>
        <v>6000</v>
      </c>
    </row>
    <row r="27" spans="1:6" s="17" customFormat="1" ht="20.25" customHeight="1">
      <c r="A27" s="687" t="s">
        <v>92</v>
      </c>
      <c r="B27" s="684" t="s">
        <v>166</v>
      </c>
      <c r="C27" s="679"/>
      <c r="D27" s="63">
        <v>3000</v>
      </c>
      <c r="E27" s="1160"/>
      <c r="F27" s="699">
        <f t="shared" si="0"/>
        <v>3000</v>
      </c>
    </row>
    <row r="28" spans="1:6" s="17" customFormat="1" ht="20.25" customHeight="1">
      <c r="A28" s="687" t="s">
        <v>93</v>
      </c>
      <c r="B28" s="684" t="s">
        <v>167</v>
      </c>
      <c r="C28" s="679"/>
      <c r="D28" s="63">
        <v>1500</v>
      </c>
      <c r="E28" s="1160"/>
      <c r="F28" s="699">
        <f t="shared" si="0"/>
        <v>1500</v>
      </c>
    </row>
    <row r="29" spans="1:6" s="17" customFormat="1" ht="20.25" customHeight="1">
      <c r="A29" s="687" t="s">
        <v>94</v>
      </c>
      <c r="B29" s="684" t="s">
        <v>168</v>
      </c>
      <c r="C29" s="679">
        <f>700+1100</f>
        <v>1800</v>
      </c>
      <c r="D29" s="63">
        <v>2030</v>
      </c>
      <c r="E29" s="714"/>
      <c r="F29" s="699">
        <f t="shared" si="0"/>
        <v>2030</v>
      </c>
    </row>
    <row r="30" spans="1:6" s="17" customFormat="1" ht="20.25" customHeight="1">
      <c r="A30" s="687" t="s">
        <v>95</v>
      </c>
      <c r="B30" s="684" t="s">
        <v>193</v>
      </c>
      <c r="C30" s="679"/>
      <c r="D30" s="63">
        <v>500</v>
      </c>
      <c r="E30" s="1160"/>
      <c r="F30" s="699">
        <f t="shared" si="0"/>
        <v>500</v>
      </c>
    </row>
    <row r="31" spans="1:6" s="17" customFormat="1" ht="20.25" customHeight="1">
      <c r="A31" s="687" t="s">
        <v>482</v>
      </c>
      <c r="B31" s="684" t="s">
        <v>470</v>
      </c>
      <c r="C31" s="679">
        <v>2200</v>
      </c>
      <c r="D31" s="63">
        <v>2200</v>
      </c>
      <c r="E31" s="1160"/>
      <c r="F31" s="699">
        <f t="shared" si="0"/>
        <v>2200</v>
      </c>
    </row>
    <row r="32" spans="1:6" s="17" customFormat="1" ht="20.25" customHeight="1">
      <c r="A32" s="687" t="s">
        <v>97</v>
      </c>
      <c r="B32" s="684" t="s">
        <v>491</v>
      </c>
      <c r="C32" s="679"/>
      <c r="D32" s="63">
        <v>1100</v>
      </c>
      <c r="E32" s="1160"/>
      <c r="F32" s="699">
        <f t="shared" si="0"/>
        <v>1100</v>
      </c>
    </row>
    <row r="33" spans="1:6" s="17" customFormat="1" ht="29.25" customHeight="1">
      <c r="A33" s="687" t="s">
        <v>112</v>
      </c>
      <c r="B33" s="684" t="s">
        <v>592</v>
      </c>
      <c r="C33" s="679"/>
      <c r="D33" s="63">
        <v>5960</v>
      </c>
      <c r="E33" s="1160"/>
      <c r="F33" s="699">
        <f t="shared" si="0"/>
        <v>5960</v>
      </c>
    </row>
    <row r="34" spans="1:6" s="17" customFormat="1" ht="29.25" customHeight="1">
      <c r="A34" s="993" t="s">
        <v>113</v>
      </c>
      <c r="B34" s="685" t="s">
        <v>565</v>
      </c>
      <c r="C34" s="680"/>
      <c r="D34" s="655">
        <v>2500</v>
      </c>
      <c r="E34" s="1161"/>
      <c r="F34" s="699">
        <f t="shared" si="0"/>
        <v>2500</v>
      </c>
    </row>
    <row r="35" spans="1:6" s="17" customFormat="1" ht="29.25" customHeight="1">
      <c r="A35" s="1165" t="s">
        <v>114</v>
      </c>
      <c r="B35" s="1077" t="s">
        <v>598</v>
      </c>
      <c r="C35" s="63"/>
      <c r="D35" s="63">
        <v>621</v>
      </c>
      <c r="E35" s="1160"/>
      <c r="F35" s="699">
        <f t="shared" si="0"/>
        <v>621</v>
      </c>
    </row>
    <row r="36" spans="1:6" s="17" customFormat="1" ht="20.25" customHeight="1">
      <c r="A36" s="1165" t="s">
        <v>115</v>
      </c>
      <c r="B36" s="660" t="s">
        <v>173</v>
      </c>
      <c r="C36" s="63"/>
      <c r="D36" s="63">
        <v>72479</v>
      </c>
      <c r="E36" s="714"/>
      <c r="F36" s="699">
        <f t="shared" si="0"/>
        <v>72479</v>
      </c>
    </row>
    <row r="37" spans="1:6" s="15" customFormat="1" ht="30" customHeight="1" thickBot="1">
      <c r="A37" s="1069" t="s">
        <v>66</v>
      </c>
      <c r="B37" s="1070" t="s">
        <v>69</v>
      </c>
      <c r="C37" s="1071">
        <f>SUM(C6:C36)</f>
        <v>134060</v>
      </c>
      <c r="D37" s="1072">
        <f>SUM(D6:D36)</f>
        <v>258002</v>
      </c>
      <c r="E37" s="1072">
        <f>SUM(E6:E36)</f>
        <v>0</v>
      </c>
      <c r="F37" s="1166">
        <f>SUM(F6:F36)</f>
        <v>258002</v>
      </c>
    </row>
    <row r="38" spans="1:6" s="15" customFormat="1" ht="18" customHeight="1">
      <c r="A38" s="13"/>
      <c r="B38" s="13"/>
      <c r="C38" s="13"/>
      <c r="D38" s="13"/>
      <c r="E38" s="12"/>
    </row>
    <row r="39" spans="1:6" s="15" customFormat="1" ht="18" customHeight="1">
      <c r="A39" s="13"/>
      <c r="B39" s="13"/>
      <c r="C39" s="1652"/>
      <c r="D39" s="310"/>
      <c r="E39" s="12"/>
    </row>
    <row r="40" spans="1:6" s="15" customFormat="1" ht="18" customHeight="1">
      <c r="A40" s="13"/>
      <c r="B40" s="13"/>
      <c r="C40" s="1652"/>
      <c r="D40" s="310"/>
      <c r="E40" s="12"/>
    </row>
    <row r="41" spans="1:6" s="15" customFormat="1" ht="18" customHeight="1">
      <c r="A41" s="13"/>
      <c r="B41" s="13"/>
      <c r="C41" s="1652"/>
      <c r="D41" s="310"/>
      <c r="E41" s="12"/>
    </row>
    <row r="42" spans="1:6" s="15" customFormat="1" ht="18" customHeight="1">
      <c r="A42" s="13"/>
      <c r="B42" s="13"/>
      <c r="C42" s="1652"/>
      <c r="D42" s="310"/>
      <c r="E42" s="12"/>
    </row>
    <row r="43" spans="1:6" s="15" customFormat="1" ht="18" customHeight="1">
      <c r="A43" s="13"/>
      <c r="B43" s="13"/>
      <c r="C43" s="1652"/>
      <c r="D43" s="310"/>
      <c r="E43" s="12"/>
    </row>
    <row r="44" spans="1:6" s="14" customFormat="1">
      <c r="A44" s="13"/>
      <c r="B44" s="13"/>
      <c r="C44" s="13"/>
      <c r="D44" s="13"/>
      <c r="E44" s="12"/>
    </row>
    <row r="45" spans="1:6" s="14" customFormat="1" ht="18" customHeight="1">
      <c r="A45" s="13"/>
      <c r="B45" s="13"/>
      <c r="C45" s="13"/>
      <c r="D45" s="13"/>
      <c r="E45" s="12"/>
    </row>
    <row r="46" spans="1:6" s="14" customFormat="1" ht="18" customHeight="1">
      <c r="A46" s="13"/>
      <c r="B46" s="13"/>
      <c r="C46" s="13"/>
      <c r="D46" s="13"/>
      <c r="E46" s="12"/>
    </row>
    <row r="47" spans="1:6" s="14" customFormat="1" ht="18" customHeight="1">
      <c r="A47" s="13"/>
      <c r="B47" s="13"/>
      <c r="C47" s="13"/>
      <c r="D47" s="13"/>
      <c r="E47" s="12"/>
    </row>
    <row r="48" spans="1:6" s="14" customFormat="1" ht="18" customHeight="1">
      <c r="A48" s="13"/>
      <c r="B48" s="13"/>
      <c r="C48" s="13"/>
      <c r="D48" s="13"/>
      <c r="E48" s="12"/>
    </row>
    <row r="49" spans="1:5" s="14" customFormat="1" ht="18" customHeight="1">
      <c r="A49" s="13"/>
      <c r="B49" s="13"/>
      <c r="C49" s="13"/>
      <c r="D49" s="13"/>
      <c r="E49" s="12"/>
    </row>
    <row r="50" spans="1:5" s="14" customFormat="1" ht="18" customHeight="1">
      <c r="A50" s="13"/>
      <c r="B50" s="13"/>
      <c r="C50" s="13"/>
      <c r="D50" s="13"/>
      <c r="E50" s="12"/>
    </row>
    <row r="51" spans="1:5" s="15" customFormat="1" ht="18" customHeight="1">
      <c r="A51" s="13"/>
      <c r="B51" s="13"/>
      <c r="C51" s="13"/>
      <c r="D51" s="13"/>
      <c r="E51" s="12"/>
    </row>
    <row r="52" spans="1:5" s="14" customFormat="1" ht="18" customHeight="1">
      <c r="A52" s="13"/>
      <c r="B52" s="13"/>
      <c r="C52" s="13"/>
      <c r="D52" s="13"/>
      <c r="E52" s="12"/>
    </row>
    <row r="53" spans="1:5" s="14" customFormat="1">
      <c r="A53" s="13"/>
      <c r="B53" s="13"/>
      <c r="C53" s="13"/>
      <c r="D53" s="13"/>
      <c r="E53" s="12"/>
    </row>
    <row r="54" spans="1:5" s="14" customFormat="1" ht="18" customHeight="1">
      <c r="A54" s="13"/>
      <c r="B54" s="13"/>
      <c r="C54" s="13"/>
      <c r="D54" s="13"/>
      <c r="E54" s="12"/>
    </row>
    <row r="55" spans="1:5" s="14" customFormat="1" ht="18" customHeight="1">
      <c r="A55" s="13"/>
      <c r="B55" s="13"/>
      <c r="C55" s="13"/>
      <c r="D55" s="13"/>
      <c r="E55" s="12"/>
    </row>
    <row r="56" spans="1:5" s="14" customFormat="1" ht="18" customHeight="1">
      <c r="A56" s="13"/>
      <c r="B56" s="13"/>
      <c r="C56" s="13"/>
      <c r="D56" s="13"/>
      <c r="E56" s="12"/>
    </row>
    <row r="57" spans="1:5" s="14" customFormat="1" ht="18" customHeight="1">
      <c r="A57" s="13"/>
      <c r="B57" s="13"/>
      <c r="C57" s="13"/>
      <c r="D57" s="13"/>
      <c r="E57" s="12"/>
    </row>
    <row r="58" spans="1:5" s="14" customFormat="1" ht="18" customHeight="1">
      <c r="A58" s="13"/>
      <c r="B58" s="13"/>
      <c r="C58" s="13"/>
      <c r="D58" s="13"/>
      <c r="E58" s="12"/>
    </row>
    <row r="59" spans="1:5" s="14" customFormat="1" ht="18" customHeight="1">
      <c r="A59" s="13"/>
      <c r="B59" s="13"/>
      <c r="C59" s="13"/>
      <c r="D59" s="13"/>
      <c r="E59" s="12"/>
    </row>
    <row r="60" spans="1:5" s="14" customFormat="1" ht="18" customHeight="1">
      <c r="A60" s="13"/>
      <c r="B60" s="13"/>
      <c r="C60" s="13"/>
      <c r="D60" s="13"/>
      <c r="E60" s="12"/>
    </row>
    <row r="61" spans="1:5" s="14" customFormat="1" ht="18" customHeight="1">
      <c r="A61" s="13"/>
      <c r="B61" s="13"/>
      <c r="C61" s="13"/>
      <c r="D61" s="13"/>
      <c r="E61" s="12"/>
    </row>
    <row r="62" spans="1:5" s="14" customFormat="1" ht="18" customHeight="1">
      <c r="A62" s="13"/>
      <c r="B62" s="13"/>
      <c r="C62" s="13"/>
      <c r="D62" s="13"/>
      <c r="E62" s="12"/>
    </row>
    <row r="63" spans="1:5" s="14" customFormat="1" ht="18" customHeight="1">
      <c r="A63" s="13"/>
      <c r="B63" s="13"/>
      <c r="C63" s="13"/>
      <c r="D63" s="13"/>
      <c r="E63" s="12"/>
    </row>
    <row r="64" spans="1:5" s="14" customFormat="1" ht="18" customHeight="1">
      <c r="A64" s="13"/>
      <c r="B64" s="13"/>
      <c r="C64" s="13"/>
      <c r="D64" s="13"/>
      <c r="E64" s="12"/>
    </row>
    <row r="65" spans="1:5" s="14" customFormat="1" ht="18" customHeight="1">
      <c r="A65" s="13"/>
      <c r="B65" s="13"/>
      <c r="C65" s="13"/>
      <c r="D65" s="13"/>
      <c r="E65" s="12"/>
    </row>
    <row r="66" spans="1:5" s="14" customFormat="1" ht="18" customHeight="1">
      <c r="A66" s="13"/>
      <c r="B66" s="13"/>
      <c r="C66" s="13"/>
      <c r="D66" s="13"/>
      <c r="E66" s="12"/>
    </row>
    <row r="67" spans="1:5" s="14" customFormat="1" ht="18" customHeight="1">
      <c r="A67" s="13"/>
      <c r="B67" s="13"/>
      <c r="C67" s="13"/>
      <c r="D67" s="13"/>
      <c r="E67" s="12"/>
    </row>
    <row r="68" spans="1:5" s="15" customFormat="1" ht="18" customHeight="1">
      <c r="A68" s="13"/>
      <c r="B68" s="13"/>
      <c r="C68" s="13"/>
      <c r="D68" s="13"/>
      <c r="E68" s="12"/>
    </row>
    <row r="69" spans="1:5" s="15" customFormat="1" ht="18" customHeight="1">
      <c r="A69" s="13"/>
      <c r="B69" s="13"/>
      <c r="C69" s="13"/>
      <c r="D69" s="13"/>
      <c r="E69" s="12"/>
    </row>
    <row r="70" spans="1:5" s="15" customFormat="1">
      <c r="A70" s="13"/>
      <c r="B70" s="13"/>
      <c r="C70" s="13"/>
      <c r="D70" s="13"/>
      <c r="E70" s="12"/>
    </row>
    <row r="71" spans="1:5" s="15" customFormat="1">
      <c r="A71" s="13"/>
      <c r="B71" s="13"/>
      <c r="C71" s="13"/>
      <c r="D71" s="13"/>
      <c r="E71" s="12"/>
    </row>
    <row r="72" spans="1:5" s="22" customFormat="1">
      <c r="A72" s="13"/>
      <c r="B72" s="13"/>
      <c r="C72" s="13"/>
      <c r="D72" s="13"/>
      <c r="E72" s="12"/>
    </row>
    <row r="73" spans="1:5" s="15" customFormat="1">
      <c r="A73" s="13"/>
      <c r="B73" s="13"/>
      <c r="C73" s="13"/>
      <c r="D73" s="13"/>
      <c r="E73" s="12"/>
    </row>
    <row r="74" spans="1:5" s="23" customFormat="1">
      <c r="A74" s="13"/>
      <c r="B74" s="13"/>
      <c r="C74" s="13"/>
      <c r="D74" s="13"/>
      <c r="E74" s="12"/>
    </row>
  </sheetData>
  <mergeCells count="2">
    <mergeCell ref="A2:F3"/>
    <mergeCell ref="C39:C43"/>
  </mergeCells>
  <printOptions horizontalCentered="1"/>
  <pageMargins left="0.31496062992125984" right="0.31496062992125984" top="0.94488188976377963" bottom="0.55118110236220474" header="0.70866141732283472" footer="0.51181102362204722"/>
  <pageSetup paperSize="9" scale="64" orientation="portrait" r:id="rId1"/>
  <headerFooter>
    <oddHeader xml:space="preserve">&amp;R&amp;"Times New Roman CE,Dőlt"&amp;12 7.  melléklet a ..../2013.(....) önkormányzati rendelethez&amp;"Times New Roman CE,Normál"&amp;10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67"/>
  <sheetViews>
    <sheetView topLeftCell="A154" zoomScaleNormal="100" zoomScaleSheetLayoutView="85" workbookViewId="0">
      <selection activeCell="E123" sqref="E123"/>
    </sheetView>
  </sheetViews>
  <sheetFormatPr defaultRowHeight="15.75"/>
  <cols>
    <col min="1" max="1" width="12.33203125" style="98" customWidth="1"/>
    <col min="2" max="2" width="77.5" style="99" customWidth="1"/>
    <col min="3" max="3" width="18.1640625" style="177" customWidth="1"/>
    <col min="4" max="4" width="18.83203125" style="2" customWidth="1"/>
    <col min="5" max="6" width="16.6640625" style="2" customWidth="1"/>
    <col min="7" max="16384" width="9.33203125" style="2"/>
  </cols>
  <sheetData>
    <row r="1" spans="1:6" s="1" customFormat="1" ht="16.5" customHeight="1" thickBot="1">
      <c r="A1" s="10"/>
      <c r="B1" s="68"/>
      <c r="C1" s="176"/>
    </row>
    <row r="2" spans="1:6" s="4" customFormat="1" ht="21" customHeight="1">
      <c r="A2" s="1653"/>
      <c r="B2" s="1655" t="s">
        <v>197</v>
      </c>
      <c r="C2" s="1660" t="s">
        <v>245</v>
      </c>
      <c r="D2" s="1661"/>
      <c r="E2" s="1661"/>
      <c r="F2" s="1662"/>
    </row>
    <row r="3" spans="1:6" s="4" customFormat="1" ht="16.5" customHeight="1" thickBot="1">
      <c r="A3" s="1654"/>
      <c r="B3" s="1656"/>
      <c r="C3" s="1663"/>
      <c r="D3" s="1664"/>
      <c r="E3" s="1664"/>
      <c r="F3" s="1665"/>
    </row>
    <row r="4" spans="1:6" s="5" customFormat="1" ht="15.95" customHeight="1" thickBot="1">
      <c r="A4" s="95"/>
      <c r="B4" s="95"/>
      <c r="F4" s="116" t="s">
        <v>443</v>
      </c>
    </row>
    <row r="5" spans="1:6" ht="36" customHeight="1" thickBot="1">
      <c r="A5" s="270" t="s">
        <v>59</v>
      </c>
      <c r="B5" s="189" t="s">
        <v>0</v>
      </c>
      <c r="C5" s="202" t="s">
        <v>104</v>
      </c>
      <c r="D5" s="203" t="s">
        <v>558</v>
      </c>
      <c r="E5" s="895" t="s">
        <v>618</v>
      </c>
      <c r="F5" s="895" t="s">
        <v>471</v>
      </c>
    </row>
    <row r="6" spans="1:6" s="3" customFormat="1" ht="12.95" customHeight="1" thickBot="1">
      <c r="A6" s="8">
        <v>1</v>
      </c>
      <c r="B6" s="9">
        <v>2</v>
      </c>
      <c r="C6" s="9">
        <v>3</v>
      </c>
      <c r="D6" s="278">
        <v>4</v>
      </c>
      <c r="E6" s="279">
        <v>5</v>
      </c>
      <c r="F6" s="941">
        <v>6</v>
      </c>
    </row>
    <row r="7" spans="1:6" s="3" customFormat="1" ht="20.25" customHeight="1" thickBot="1">
      <c r="A7" s="1657" t="s">
        <v>1</v>
      </c>
      <c r="B7" s="1658"/>
      <c r="C7" s="1659"/>
      <c r="D7" s="1659"/>
      <c r="E7" s="1659"/>
    </row>
    <row r="8" spans="1:6" s="102" customFormat="1" ht="16.5" customHeight="1" thickBot="1">
      <c r="A8" s="101" t="s">
        <v>71</v>
      </c>
      <c r="B8" s="60" t="s">
        <v>253</v>
      </c>
      <c r="C8" s="957">
        <f>+C9+C10+C11+C12+C13+C14</f>
        <v>967659</v>
      </c>
      <c r="D8" s="958">
        <f>+D9+D10+D11+D12+D13+D14</f>
        <v>1196778</v>
      </c>
      <c r="E8" s="1081">
        <f>+E9+E10+E11+E12+E13+E14</f>
        <v>4830</v>
      </c>
      <c r="F8" s="1085">
        <f>D8+E8</f>
        <v>1201608</v>
      </c>
    </row>
    <row r="9" spans="1:6" s="6" customFormat="1" ht="16.5" customHeight="1">
      <c r="A9" s="103" t="s">
        <v>18</v>
      </c>
      <c r="B9" s="136" t="s">
        <v>254</v>
      </c>
      <c r="C9" s="956">
        <v>281151</v>
      </c>
      <c r="D9" s="1138">
        <v>563599</v>
      </c>
      <c r="E9" s="1138">
        <f>'1.1.sz.mell'!E8</f>
        <v>-210729</v>
      </c>
      <c r="F9" s="1139">
        <f t="shared" ref="F9:F73" si="0">D9+E9</f>
        <v>352870</v>
      </c>
    </row>
    <row r="10" spans="1:6" s="7" customFormat="1" ht="16.5" customHeight="1">
      <c r="A10" s="104" t="s">
        <v>19</v>
      </c>
      <c r="B10" s="137" t="s">
        <v>255</v>
      </c>
      <c r="C10" s="949">
        <v>292230</v>
      </c>
      <c r="D10" s="948">
        <v>293439</v>
      </c>
      <c r="E10" s="948">
        <f>'1.1.sz.mell'!E9</f>
        <v>-1937</v>
      </c>
      <c r="F10" s="1139">
        <f t="shared" si="0"/>
        <v>291502</v>
      </c>
    </row>
    <row r="11" spans="1:6" s="7" customFormat="1" ht="16.5" customHeight="1">
      <c r="A11" s="104" t="s">
        <v>20</v>
      </c>
      <c r="B11" s="137" t="s">
        <v>100</v>
      </c>
      <c r="C11" s="949">
        <f>317197+51930</f>
        <v>369127</v>
      </c>
      <c r="D11" s="948">
        <v>269590</v>
      </c>
      <c r="E11" s="948">
        <f>'1.1.sz.mell'!E10</f>
        <v>221152</v>
      </c>
      <c r="F11" s="1139">
        <f t="shared" si="0"/>
        <v>490742</v>
      </c>
    </row>
    <row r="12" spans="1:6" s="7" customFormat="1" ht="16.5" customHeight="1">
      <c r="A12" s="104" t="s">
        <v>21</v>
      </c>
      <c r="B12" s="137" t="s">
        <v>101</v>
      </c>
      <c r="C12" s="949">
        <v>24902</v>
      </c>
      <c r="D12" s="948">
        <v>24902</v>
      </c>
      <c r="E12" s="948"/>
      <c r="F12" s="1139">
        <f t="shared" si="0"/>
        <v>24902</v>
      </c>
    </row>
    <row r="13" spans="1:6" s="7" customFormat="1" ht="16.5" customHeight="1">
      <c r="A13" s="104" t="s">
        <v>36</v>
      </c>
      <c r="B13" s="137" t="s">
        <v>256</v>
      </c>
      <c r="C13" s="949">
        <v>249</v>
      </c>
      <c r="D13" s="948">
        <v>17162</v>
      </c>
      <c r="E13" s="948">
        <f>'1.1.sz.mell'!E12</f>
        <v>-10123</v>
      </c>
      <c r="F13" s="1139">
        <f t="shared" si="0"/>
        <v>7039</v>
      </c>
    </row>
    <row r="14" spans="1:6" s="6" customFormat="1" ht="16.5" customHeight="1" thickBot="1">
      <c r="A14" s="105" t="s">
        <v>22</v>
      </c>
      <c r="B14" s="138" t="s">
        <v>257</v>
      </c>
      <c r="C14" s="959"/>
      <c r="D14" s="1140">
        <v>28086</v>
      </c>
      <c r="E14" s="1140">
        <f>'1.1.sz.mell'!E13</f>
        <v>6467</v>
      </c>
      <c r="F14" s="1139">
        <f t="shared" si="0"/>
        <v>34553</v>
      </c>
    </row>
    <row r="15" spans="1:6" s="6" customFormat="1" ht="16.5" customHeight="1" thickBot="1">
      <c r="A15" s="101" t="s">
        <v>72</v>
      </c>
      <c r="B15" s="139" t="s">
        <v>258</v>
      </c>
      <c r="C15" s="974">
        <f>+C16+C17+C18+C19+C20</f>
        <v>140339</v>
      </c>
      <c r="D15" s="975">
        <f>+D16+D17+D18+D19+D20</f>
        <v>375637</v>
      </c>
      <c r="E15" s="975">
        <f>+E16+E17+E18+E19+E20</f>
        <v>155866</v>
      </c>
      <c r="F15" s="1141">
        <f t="shared" si="0"/>
        <v>531503</v>
      </c>
    </row>
    <row r="16" spans="1:6" s="6" customFormat="1" ht="16.5" customHeight="1">
      <c r="A16" s="103" t="s">
        <v>24</v>
      </c>
      <c r="B16" s="136" t="s">
        <v>210</v>
      </c>
      <c r="C16" s="956"/>
      <c r="D16" s="1142"/>
      <c r="E16" s="1142"/>
      <c r="F16" s="1143">
        <f t="shared" si="0"/>
        <v>0</v>
      </c>
    </row>
    <row r="17" spans="1:6" s="6" customFormat="1" ht="16.5" customHeight="1">
      <c r="A17" s="104" t="s">
        <v>25</v>
      </c>
      <c r="B17" s="137" t="s">
        <v>259</v>
      </c>
      <c r="C17" s="949"/>
      <c r="D17" s="1144"/>
      <c r="E17" s="1144"/>
      <c r="F17" s="1143">
        <f t="shared" si="0"/>
        <v>0</v>
      </c>
    </row>
    <row r="18" spans="1:6" s="6" customFormat="1" ht="16.5" customHeight="1">
      <c r="A18" s="104" t="s">
        <v>26</v>
      </c>
      <c r="B18" s="137" t="s">
        <v>260</v>
      </c>
      <c r="C18" s="949"/>
      <c r="D18" s="1144"/>
      <c r="E18" s="1144"/>
      <c r="F18" s="1143">
        <f t="shared" si="0"/>
        <v>0</v>
      </c>
    </row>
    <row r="19" spans="1:6" s="6" customFormat="1" ht="16.5" customHeight="1">
      <c r="A19" s="104" t="s">
        <v>27</v>
      </c>
      <c r="B19" s="137" t="s">
        <v>261</v>
      </c>
      <c r="C19" s="949"/>
      <c r="D19" s="1144"/>
      <c r="E19" s="1144"/>
      <c r="F19" s="1143">
        <f t="shared" si="0"/>
        <v>0</v>
      </c>
    </row>
    <row r="20" spans="1:6" s="6" customFormat="1" ht="16.5" customHeight="1">
      <c r="A20" s="104" t="s">
        <v>28</v>
      </c>
      <c r="B20" s="137" t="s">
        <v>262</v>
      </c>
      <c r="C20" s="951">
        <f>SUM(C21:C25)</f>
        <v>140339</v>
      </c>
      <c r="D20" s="942">
        <f>SUM(D21:D25)</f>
        <v>375637</v>
      </c>
      <c r="E20" s="942">
        <f>SUM(E21:E25)</f>
        <v>155866</v>
      </c>
      <c r="F20" s="1088">
        <f t="shared" si="0"/>
        <v>531503</v>
      </c>
    </row>
    <row r="21" spans="1:6" s="7" customFormat="1" ht="16.5" customHeight="1">
      <c r="A21" s="104" t="s">
        <v>371</v>
      </c>
      <c r="B21" s="140" t="s">
        <v>370</v>
      </c>
      <c r="C21" s="952"/>
      <c r="D21" s="948">
        <v>282</v>
      </c>
      <c r="E21" s="948">
        <v>4100</v>
      </c>
      <c r="F21" s="1096">
        <f t="shared" si="0"/>
        <v>4382</v>
      </c>
    </row>
    <row r="22" spans="1:6" s="7" customFormat="1" ht="16.5" customHeight="1">
      <c r="A22" s="104" t="s">
        <v>372</v>
      </c>
      <c r="B22" s="140" t="s">
        <v>233</v>
      </c>
      <c r="C22" s="952"/>
      <c r="D22" s="948">
        <v>218271</v>
      </c>
      <c r="E22" s="948">
        <v>72606</v>
      </c>
      <c r="F22" s="1096">
        <f t="shared" si="0"/>
        <v>290877</v>
      </c>
    </row>
    <row r="23" spans="1:6" s="7" customFormat="1" ht="16.5" customHeight="1">
      <c r="A23" s="104" t="s">
        <v>373</v>
      </c>
      <c r="B23" s="140" t="s">
        <v>234</v>
      </c>
      <c r="C23" s="952"/>
      <c r="D23" s="948"/>
      <c r="E23" s="948"/>
      <c r="F23" s="1096">
        <f t="shared" si="0"/>
        <v>0</v>
      </c>
    </row>
    <row r="24" spans="1:6" s="7" customFormat="1" ht="16.5" customHeight="1">
      <c r="A24" s="104" t="s">
        <v>374</v>
      </c>
      <c r="B24" s="140" t="s">
        <v>235</v>
      </c>
      <c r="C24" s="952">
        <v>10275</v>
      </c>
      <c r="D24" s="948">
        <v>27472</v>
      </c>
      <c r="E24" s="948">
        <v>21889</v>
      </c>
      <c r="F24" s="1096">
        <f t="shared" si="0"/>
        <v>49361</v>
      </c>
    </row>
    <row r="25" spans="1:6" s="7" customFormat="1" ht="16.5" customHeight="1" thickBot="1">
      <c r="A25" s="105" t="s">
        <v>375</v>
      </c>
      <c r="B25" s="141" t="s">
        <v>365</v>
      </c>
      <c r="C25" s="961">
        <v>130064</v>
      </c>
      <c r="D25" s="1140">
        <v>129612</v>
      </c>
      <c r="E25" s="1140">
        <v>57271</v>
      </c>
      <c r="F25" s="1096">
        <f t="shared" si="0"/>
        <v>186883</v>
      </c>
    </row>
    <row r="26" spans="1:6" s="7" customFormat="1" ht="27.75" customHeight="1" thickBot="1">
      <c r="A26" s="101" t="s">
        <v>73</v>
      </c>
      <c r="B26" s="60" t="s">
        <v>263</v>
      </c>
      <c r="C26" s="957">
        <f>+C27+C28+C29+C30+C31</f>
        <v>425653</v>
      </c>
      <c r="D26" s="958">
        <f>+D27+D28+D29+D30+D31</f>
        <v>565571</v>
      </c>
      <c r="E26" s="958">
        <f>+E27+E28+E29+E30+E31</f>
        <v>-57061</v>
      </c>
      <c r="F26" s="1085">
        <f t="shared" si="0"/>
        <v>508510</v>
      </c>
    </row>
    <row r="27" spans="1:6" s="7" customFormat="1" ht="16.5" customHeight="1">
      <c r="A27" s="103" t="s">
        <v>5</v>
      </c>
      <c r="B27" s="136" t="s">
        <v>264</v>
      </c>
      <c r="C27" s="962"/>
      <c r="D27" s="1135">
        <v>122290</v>
      </c>
      <c r="E27" s="1135">
        <f>'1.1.sz.mell'!E26</f>
        <v>-240</v>
      </c>
      <c r="F27" s="1136">
        <f t="shared" si="0"/>
        <v>122050</v>
      </c>
    </row>
    <row r="28" spans="1:6" s="6" customFormat="1" ht="16.5" customHeight="1">
      <c r="A28" s="104" t="s">
        <v>6</v>
      </c>
      <c r="B28" s="137" t="s">
        <v>265</v>
      </c>
      <c r="C28" s="953"/>
      <c r="D28" s="1137"/>
      <c r="E28" s="1137"/>
      <c r="F28" s="1136">
        <f t="shared" si="0"/>
        <v>0</v>
      </c>
    </row>
    <row r="29" spans="1:6" s="7" customFormat="1" ht="16.5" customHeight="1">
      <c r="A29" s="104" t="s">
        <v>7</v>
      </c>
      <c r="B29" s="137" t="s">
        <v>266</v>
      </c>
      <c r="C29" s="953"/>
      <c r="D29" s="945"/>
      <c r="E29" s="945"/>
      <c r="F29" s="1136">
        <f t="shared" si="0"/>
        <v>0</v>
      </c>
    </row>
    <row r="30" spans="1:6" s="7" customFormat="1" ht="16.5" customHeight="1">
      <c r="A30" s="104" t="s">
        <v>8</v>
      </c>
      <c r="B30" s="137" t="s">
        <v>267</v>
      </c>
      <c r="C30" s="953"/>
      <c r="D30" s="945"/>
      <c r="E30" s="945"/>
      <c r="F30" s="1136">
        <f t="shared" si="0"/>
        <v>0</v>
      </c>
    </row>
    <row r="31" spans="1:6" s="7" customFormat="1" ht="16.5" customHeight="1">
      <c r="A31" s="104" t="s">
        <v>39</v>
      </c>
      <c r="B31" s="137" t="s">
        <v>268</v>
      </c>
      <c r="C31" s="955">
        <f>SUM(C32:C36)</f>
        <v>425653</v>
      </c>
      <c r="D31" s="946">
        <f>SUM(D32:D36)</f>
        <v>443281</v>
      </c>
      <c r="E31" s="946">
        <f>SUM(E32:E36)</f>
        <v>-56821</v>
      </c>
      <c r="F31" s="1105">
        <f t="shared" si="0"/>
        <v>386460</v>
      </c>
    </row>
    <row r="32" spans="1:6" s="7" customFormat="1" ht="16.5" customHeight="1">
      <c r="A32" s="104" t="s">
        <v>376</v>
      </c>
      <c r="B32" s="140" t="s">
        <v>370</v>
      </c>
      <c r="C32" s="953"/>
      <c r="D32" s="945"/>
      <c r="E32" s="945"/>
      <c r="F32" s="1136">
        <f t="shared" si="0"/>
        <v>0</v>
      </c>
    </row>
    <row r="33" spans="1:6" s="7" customFormat="1" ht="16.5" customHeight="1">
      <c r="A33" s="104" t="s">
        <v>377</v>
      </c>
      <c r="B33" s="140" t="s">
        <v>233</v>
      </c>
      <c r="C33" s="953"/>
      <c r="D33" s="943">
        <v>9654</v>
      </c>
      <c r="E33" s="943"/>
      <c r="F33" s="1136">
        <f t="shared" si="0"/>
        <v>9654</v>
      </c>
    </row>
    <row r="34" spans="1:6" s="7" customFormat="1" ht="16.5" customHeight="1">
      <c r="A34" s="104" t="s">
        <v>378</v>
      </c>
      <c r="B34" s="140" t="s">
        <v>234</v>
      </c>
      <c r="C34" s="953"/>
      <c r="D34" s="945"/>
      <c r="E34" s="945"/>
      <c r="F34" s="1136">
        <f t="shared" si="0"/>
        <v>0</v>
      </c>
    </row>
    <row r="35" spans="1:6" s="7" customFormat="1" ht="16.5" customHeight="1">
      <c r="A35" s="104" t="s">
        <v>379</v>
      </c>
      <c r="B35" s="140" t="s">
        <v>235</v>
      </c>
      <c r="C35" s="953">
        <v>34000</v>
      </c>
      <c r="D35" s="945">
        <v>41522</v>
      </c>
      <c r="E35" s="945">
        <v>450</v>
      </c>
      <c r="F35" s="1136">
        <f t="shared" si="0"/>
        <v>41972</v>
      </c>
    </row>
    <row r="36" spans="1:6" s="7" customFormat="1" ht="16.5" customHeight="1" thickBot="1">
      <c r="A36" s="105" t="s">
        <v>380</v>
      </c>
      <c r="B36" s="141" t="s">
        <v>365</v>
      </c>
      <c r="C36" s="963">
        <v>391653</v>
      </c>
      <c r="D36" s="964">
        <v>392105</v>
      </c>
      <c r="E36" s="964">
        <v>-57271</v>
      </c>
      <c r="F36" s="1136">
        <f t="shared" si="0"/>
        <v>334834</v>
      </c>
    </row>
    <row r="37" spans="1:6" s="7" customFormat="1" ht="16.5" customHeight="1" thickBot="1">
      <c r="A37" s="101" t="s">
        <v>40</v>
      </c>
      <c r="B37" s="60" t="s">
        <v>269</v>
      </c>
      <c r="C37" s="967">
        <f>+C38+C43+C44+C45</f>
        <v>947000</v>
      </c>
      <c r="D37" s="968">
        <f>+D38+D43+D44+D45</f>
        <v>947000</v>
      </c>
      <c r="E37" s="968">
        <f>+E38+E43+E44+E45</f>
        <v>-94000</v>
      </c>
      <c r="F37" s="1085">
        <f t="shared" si="0"/>
        <v>853000</v>
      </c>
    </row>
    <row r="38" spans="1:6" s="7" customFormat="1" ht="16.5" customHeight="1">
      <c r="A38" s="103" t="s">
        <v>9</v>
      </c>
      <c r="B38" s="136" t="s">
        <v>588</v>
      </c>
      <c r="C38" s="965">
        <f>SUM(C39:C41)</f>
        <v>882000</v>
      </c>
      <c r="D38" s="966">
        <f>SUM(D39:D41)</f>
        <v>882000</v>
      </c>
      <c r="E38" s="966">
        <f>SUM(E39:E42)</f>
        <v>-98455</v>
      </c>
      <c r="F38" s="1092">
        <f t="shared" si="0"/>
        <v>783545</v>
      </c>
    </row>
    <row r="39" spans="1:6" s="7" customFormat="1" ht="16.5" customHeight="1">
      <c r="A39" s="104" t="s">
        <v>271</v>
      </c>
      <c r="B39" s="142" t="s">
        <v>381</v>
      </c>
      <c r="C39" s="955">
        <v>57000</v>
      </c>
      <c r="D39" s="947">
        <v>57000</v>
      </c>
      <c r="E39" s="947">
        <f>'1.1.sz.mell'!E38</f>
        <v>1540</v>
      </c>
      <c r="F39" s="1092">
        <f t="shared" si="0"/>
        <v>58540</v>
      </c>
    </row>
    <row r="40" spans="1:6" s="7" customFormat="1" ht="16.5" customHeight="1">
      <c r="A40" s="104" t="s">
        <v>272</v>
      </c>
      <c r="B40" s="142" t="s">
        <v>382</v>
      </c>
      <c r="C40" s="955">
        <v>75000</v>
      </c>
      <c r="D40" s="947">
        <v>75000</v>
      </c>
      <c r="E40" s="947"/>
      <c r="F40" s="1092">
        <f t="shared" si="0"/>
        <v>75000</v>
      </c>
    </row>
    <row r="41" spans="1:6" s="7" customFormat="1" ht="16.5" customHeight="1">
      <c r="A41" s="104" t="s">
        <v>383</v>
      </c>
      <c r="B41" s="142" t="s">
        <v>384</v>
      </c>
      <c r="C41" s="955">
        <v>750000</v>
      </c>
      <c r="D41" s="947">
        <v>750000</v>
      </c>
      <c r="E41" s="947">
        <f>'1.1.sz.mell'!E40</f>
        <v>-100000</v>
      </c>
      <c r="F41" s="1092">
        <f t="shared" si="0"/>
        <v>650000</v>
      </c>
    </row>
    <row r="42" spans="1:6" s="7" customFormat="1" ht="16.5" customHeight="1">
      <c r="A42" s="104" t="s">
        <v>587</v>
      </c>
      <c r="B42" s="142" t="s">
        <v>586</v>
      </c>
      <c r="C42" s="955"/>
      <c r="D42" s="947"/>
      <c r="E42" s="947">
        <f>'1.1.sz.mell'!E41</f>
        <v>5</v>
      </c>
      <c r="F42" s="1092">
        <f t="shared" si="0"/>
        <v>5</v>
      </c>
    </row>
    <row r="43" spans="1:6" s="7" customFormat="1" ht="16.5" customHeight="1">
      <c r="A43" s="104" t="s">
        <v>10</v>
      </c>
      <c r="B43" s="137" t="s">
        <v>273</v>
      </c>
      <c r="C43" s="953">
        <v>45000</v>
      </c>
      <c r="D43" s="945">
        <v>45000</v>
      </c>
      <c r="E43" s="945"/>
      <c r="F43" s="1092">
        <f t="shared" si="0"/>
        <v>45000</v>
      </c>
    </row>
    <row r="44" spans="1:6" s="7" customFormat="1" ht="16.5" customHeight="1">
      <c r="A44" s="104" t="s">
        <v>215</v>
      </c>
      <c r="B44" s="137" t="s">
        <v>385</v>
      </c>
      <c r="C44" s="953">
        <v>4000</v>
      </c>
      <c r="D44" s="945">
        <v>4000</v>
      </c>
      <c r="E44" s="945">
        <f>'1.1.sz.mell'!E43</f>
        <v>1045</v>
      </c>
      <c r="F44" s="1092">
        <f t="shared" si="0"/>
        <v>5045</v>
      </c>
    </row>
    <row r="45" spans="1:6" s="7" customFormat="1" ht="16.5" customHeight="1" thickBot="1">
      <c r="A45" s="105" t="s">
        <v>238</v>
      </c>
      <c r="B45" s="138" t="s">
        <v>386</v>
      </c>
      <c r="C45" s="963">
        <v>16000</v>
      </c>
      <c r="D45" s="964">
        <v>16000</v>
      </c>
      <c r="E45" s="964">
        <f>'1.1.sz.mell'!E44-400</f>
        <v>3410</v>
      </c>
      <c r="F45" s="1093">
        <f t="shared" si="0"/>
        <v>19410</v>
      </c>
    </row>
    <row r="46" spans="1:6" s="7" customFormat="1" ht="16.5" customHeight="1" thickBot="1">
      <c r="A46" s="101" t="s">
        <v>75</v>
      </c>
      <c r="B46" s="60" t="s">
        <v>274</v>
      </c>
      <c r="C46" s="970">
        <f>C47+C48+C52+C53+C54+C55+C56+C57+C58+C59</f>
        <v>156857</v>
      </c>
      <c r="D46" s="971">
        <f>D47+D48+D52+D53+D54+D55+D56+D57+D58+D59</f>
        <v>157737</v>
      </c>
      <c r="E46" s="1082">
        <f>E47+E48+E52+E53+E54+E55+E56+E57+E58+E59</f>
        <v>14830</v>
      </c>
      <c r="F46" s="1084">
        <f t="shared" si="0"/>
        <v>172567</v>
      </c>
    </row>
    <row r="47" spans="1:6" s="7" customFormat="1" ht="16.5" customHeight="1">
      <c r="A47" s="103" t="s">
        <v>11</v>
      </c>
      <c r="B47" s="136" t="s">
        <v>199</v>
      </c>
      <c r="C47" s="960"/>
      <c r="D47" s="969"/>
      <c r="E47" s="969"/>
      <c r="F47" s="1094">
        <f t="shared" si="0"/>
        <v>0</v>
      </c>
    </row>
    <row r="48" spans="1:6" s="7" customFormat="1" ht="16.5" customHeight="1">
      <c r="A48" s="104" t="s">
        <v>12</v>
      </c>
      <c r="B48" s="137" t="s">
        <v>200</v>
      </c>
      <c r="C48" s="951">
        <f>SUM(C49:C51)</f>
        <v>30967</v>
      </c>
      <c r="D48" s="942">
        <f>SUM(D49:D51)</f>
        <v>27147</v>
      </c>
      <c r="E48" s="942">
        <f>SUM(E49:E51)</f>
        <v>0</v>
      </c>
      <c r="F48" s="1095">
        <f t="shared" si="0"/>
        <v>27147</v>
      </c>
    </row>
    <row r="49" spans="1:6" s="7" customFormat="1" ht="16.5" customHeight="1">
      <c r="A49" s="104" t="s">
        <v>387</v>
      </c>
      <c r="B49" s="143" t="s">
        <v>249</v>
      </c>
      <c r="C49" s="775"/>
      <c r="D49" s="948"/>
      <c r="E49" s="948"/>
      <c r="F49" s="1096">
        <f t="shared" si="0"/>
        <v>0</v>
      </c>
    </row>
    <row r="50" spans="1:6" s="7" customFormat="1" ht="16.5" customHeight="1">
      <c r="A50" s="104" t="s">
        <v>388</v>
      </c>
      <c r="B50" s="143" t="s">
        <v>250</v>
      </c>
      <c r="C50" s="775">
        <v>30967</v>
      </c>
      <c r="D50" s="948">
        <v>27147</v>
      </c>
      <c r="E50" s="948"/>
      <c r="F50" s="1096">
        <f t="shared" si="0"/>
        <v>27147</v>
      </c>
    </row>
    <row r="51" spans="1:6" s="7" customFormat="1" ht="16.5" customHeight="1">
      <c r="A51" s="104" t="s">
        <v>389</v>
      </c>
      <c r="B51" s="143" t="s">
        <v>251</v>
      </c>
      <c r="C51" s="775"/>
      <c r="D51" s="948"/>
      <c r="E51" s="948"/>
      <c r="F51" s="1096">
        <f t="shared" si="0"/>
        <v>0</v>
      </c>
    </row>
    <row r="52" spans="1:6" s="7" customFormat="1" ht="16.5" customHeight="1">
      <c r="A52" s="104" t="s">
        <v>13</v>
      </c>
      <c r="B52" s="137" t="s">
        <v>201</v>
      </c>
      <c r="C52" s="953">
        <v>14000</v>
      </c>
      <c r="D52" s="945">
        <v>14000</v>
      </c>
      <c r="E52" s="945"/>
      <c r="F52" s="1096">
        <f t="shared" si="0"/>
        <v>14000</v>
      </c>
    </row>
    <row r="53" spans="1:6" s="7" customFormat="1" ht="16.5" customHeight="1">
      <c r="A53" s="104" t="s">
        <v>42</v>
      </c>
      <c r="B53" s="137" t="s">
        <v>202</v>
      </c>
      <c r="C53" s="953"/>
      <c r="D53" s="945"/>
      <c r="E53" s="945"/>
      <c r="F53" s="1096">
        <f t="shared" si="0"/>
        <v>0</v>
      </c>
    </row>
    <row r="54" spans="1:6" s="7" customFormat="1" ht="16.5" customHeight="1">
      <c r="A54" s="104" t="s">
        <v>43</v>
      </c>
      <c r="B54" s="137" t="s">
        <v>203</v>
      </c>
      <c r="C54" s="953"/>
      <c r="D54" s="468"/>
      <c r="E54" s="468"/>
      <c r="F54" s="1096">
        <f t="shared" si="0"/>
        <v>0</v>
      </c>
    </row>
    <row r="55" spans="1:6" s="7" customFormat="1" ht="16.5" customHeight="1">
      <c r="A55" s="104" t="s">
        <v>44</v>
      </c>
      <c r="B55" s="137" t="s">
        <v>275</v>
      </c>
      <c r="C55" s="953">
        <v>61010</v>
      </c>
      <c r="D55" s="945">
        <v>61116</v>
      </c>
      <c r="E55" s="945"/>
      <c r="F55" s="1096">
        <f t="shared" si="0"/>
        <v>61116</v>
      </c>
    </row>
    <row r="56" spans="1:6" s="7" customFormat="1" ht="16.5" customHeight="1">
      <c r="A56" s="104" t="s">
        <v>45</v>
      </c>
      <c r="B56" s="137" t="s">
        <v>276</v>
      </c>
      <c r="C56" s="953">
        <v>20080</v>
      </c>
      <c r="D56" s="945">
        <v>20080</v>
      </c>
      <c r="E56" s="945">
        <v>14830</v>
      </c>
      <c r="F56" s="1096">
        <f t="shared" si="0"/>
        <v>34910</v>
      </c>
    </row>
    <row r="57" spans="1:6" s="7" customFormat="1" ht="16.5" customHeight="1">
      <c r="A57" s="104" t="s">
        <v>46</v>
      </c>
      <c r="B57" s="137" t="s">
        <v>206</v>
      </c>
      <c r="C57" s="953">
        <v>3000</v>
      </c>
      <c r="D57" s="945">
        <v>200</v>
      </c>
      <c r="E57" s="945"/>
      <c r="F57" s="1096">
        <f t="shared" si="0"/>
        <v>200</v>
      </c>
    </row>
    <row r="58" spans="1:6" s="7" customFormat="1" ht="16.5" customHeight="1">
      <c r="A58" s="104" t="s">
        <v>99</v>
      </c>
      <c r="B58" s="137" t="s">
        <v>207</v>
      </c>
      <c r="C58" s="952"/>
      <c r="D58" s="945">
        <v>6620</v>
      </c>
      <c r="E58" s="945"/>
      <c r="F58" s="1096">
        <f t="shared" si="0"/>
        <v>6620</v>
      </c>
    </row>
    <row r="59" spans="1:6" s="7" customFormat="1" ht="16.5" customHeight="1" thickBot="1">
      <c r="A59" s="105" t="s">
        <v>277</v>
      </c>
      <c r="B59" s="138" t="s">
        <v>208</v>
      </c>
      <c r="C59" s="961">
        <v>27800</v>
      </c>
      <c r="D59" s="964">
        <v>28574</v>
      </c>
      <c r="E59" s="945"/>
      <c r="F59" s="1096">
        <f t="shared" si="0"/>
        <v>28574</v>
      </c>
    </row>
    <row r="60" spans="1:6" s="7" customFormat="1" ht="16.5" customHeight="1" thickBot="1">
      <c r="A60" s="101" t="s">
        <v>76</v>
      </c>
      <c r="B60" s="60" t="s">
        <v>559</v>
      </c>
      <c r="C60" s="957">
        <f>SUM(C61:C64)</f>
        <v>351328</v>
      </c>
      <c r="D60" s="958">
        <f>SUM(D61:D64)</f>
        <v>292901</v>
      </c>
      <c r="E60" s="958">
        <f>SUM(E61:E64)</f>
        <v>-48830</v>
      </c>
      <c r="F60" s="1085">
        <f t="shared" si="0"/>
        <v>244071</v>
      </c>
    </row>
    <row r="61" spans="1:6" s="7" customFormat="1" ht="16.5" customHeight="1">
      <c r="A61" s="110" t="s">
        <v>14</v>
      </c>
      <c r="B61" s="208" t="s">
        <v>217</v>
      </c>
      <c r="C61" s="1505"/>
      <c r="D61" s="1470"/>
      <c r="E61" s="1470"/>
      <c r="F61" s="1467">
        <f t="shared" si="0"/>
        <v>0</v>
      </c>
    </row>
    <row r="62" spans="1:6" s="7" customFormat="1" ht="16.5" customHeight="1">
      <c r="A62" s="104" t="s">
        <v>15</v>
      </c>
      <c r="B62" s="137" t="s">
        <v>218</v>
      </c>
      <c r="C62" s="952">
        <v>17495</v>
      </c>
      <c r="D62" s="1140">
        <v>17495</v>
      </c>
      <c r="E62" s="339"/>
      <c r="F62" s="1096">
        <f t="shared" si="0"/>
        <v>17495</v>
      </c>
    </row>
    <row r="63" spans="1:6" s="7" customFormat="1" ht="16.5" customHeight="1">
      <c r="A63" s="104" t="s">
        <v>279</v>
      </c>
      <c r="B63" s="137" t="s">
        <v>219</v>
      </c>
      <c r="C63" s="952"/>
      <c r="D63" s="468"/>
      <c r="E63" s="468"/>
      <c r="F63" s="1089">
        <f t="shared" si="0"/>
        <v>0</v>
      </c>
    </row>
    <row r="64" spans="1:6" s="7" customFormat="1" ht="16.5" customHeight="1">
      <c r="A64" s="104" t="s">
        <v>280</v>
      </c>
      <c r="B64" s="571" t="s">
        <v>120</v>
      </c>
      <c r="C64" s="954">
        <f>SUM(C65:C68)</f>
        <v>333833</v>
      </c>
      <c r="D64" s="954">
        <f>SUM(D65:D68)</f>
        <v>275406</v>
      </c>
      <c r="E64" s="954">
        <f>SUM(E65:E68)</f>
        <v>-48830</v>
      </c>
      <c r="F64" s="1506">
        <f>SUM(F65:F68)</f>
        <v>226576</v>
      </c>
    </row>
    <row r="65" spans="1:6" s="7" customFormat="1" ht="16.5" customHeight="1">
      <c r="A65" s="104" t="s">
        <v>392</v>
      </c>
      <c r="B65" s="143" t="s">
        <v>390</v>
      </c>
      <c r="C65" s="952">
        <v>181333</v>
      </c>
      <c r="D65" s="948">
        <v>79333</v>
      </c>
      <c r="E65" s="948">
        <v>-34000</v>
      </c>
      <c r="F65" s="1096">
        <f t="shared" si="0"/>
        <v>45333</v>
      </c>
    </row>
    <row r="66" spans="1:6" s="7" customFormat="1" ht="16.5" customHeight="1">
      <c r="A66" s="104" t="s">
        <v>393</v>
      </c>
      <c r="B66" s="143" t="s">
        <v>391</v>
      </c>
      <c r="C66" s="952">
        <v>5000</v>
      </c>
      <c r="D66" s="948">
        <v>5000</v>
      </c>
      <c r="E66" s="948"/>
      <c r="F66" s="1096">
        <f t="shared" si="0"/>
        <v>5000</v>
      </c>
    </row>
    <row r="67" spans="1:6" s="7" customFormat="1" ht="20.25" customHeight="1">
      <c r="A67" s="105" t="s">
        <v>394</v>
      </c>
      <c r="B67" s="332" t="s">
        <v>395</v>
      </c>
      <c r="C67" s="961">
        <v>147500</v>
      </c>
      <c r="D67" s="1140">
        <v>147500</v>
      </c>
      <c r="E67" s="1140"/>
      <c r="F67" s="1096">
        <f t="shared" si="0"/>
        <v>147500</v>
      </c>
    </row>
    <row r="68" spans="1:6" s="7" customFormat="1" ht="20.25" customHeight="1" thickBot="1">
      <c r="A68" s="209" t="s">
        <v>599</v>
      </c>
      <c r="B68" s="1507" t="s">
        <v>600</v>
      </c>
      <c r="C68" s="1508"/>
      <c r="D68" s="1509">
        <v>43573</v>
      </c>
      <c r="E68" s="1509">
        <v>-14830</v>
      </c>
      <c r="F68" s="1510">
        <f t="shared" si="0"/>
        <v>28743</v>
      </c>
    </row>
    <row r="69" spans="1:6" s="7" customFormat="1" ht="16.5" customHeight="1" thickBot="1">
      <c r="A69" s="101" t="s">
        <v>47</v>
      </c>
      <c r="B69" s="60" t="s">
        <v>281</v>
      </c>
      <c r="C69" s="957">
        <f>SUM(C70:C72)</f>
        <v>0</v>
      </c>
      <c r="D69" s="958">
        <f>SUM(D70:D72)</f>
        <v>250</v>
      </c>
      <c r="E69" s="958">
        <f>SUM(E70:E72)</f>
        <v>0</v>
      </c>
      <c r="F69" s="1085">
        <f t="shared" si="0"/>
        <v>250</v>
      </c>
    </row>
    <row r="70" spans="1:6" s="7" customFormat="1" ht="20.25" customHeight="1">
      <c r="A70" s="103" t="s">
        <v>16</v>
      </c>
      <c r="B70" s="136" t="s">
        <v>282</v>
      </c>
      <c r="C70" s="960"/>
      <c r="D70" s="212"/>
      <c r="E70" s="212"/>
      <c r="F70" s="220">
        <f t="shared" si="0"/>
        <v>0</v>
      </c>
    </row>
    <row r="71" spans="1:6" s="7" customFormat="1" ht="29.25" customHeight="1">
      <c r="A71" s="104" t="s">
        <v>17</v>
      </c>
      <c r="B71" s="137" t="s">
        <v>283</v>
      </c>
      <c r="C71" s="950"/>
      <c r="D71" s="198"/>
      <c r="E71" s="198"/>
      <c r="F71" s="220">
        <f t="shared" si="0"/>
        <v>0</v>
      </c>
    </row>
    <row r="72" spans="1:6" s="7" customFormat="1" ht="16.5" customHeight="1" thickBot="1">
      <c r="A72" s="105" t="s">
        <v>48</v>
      </c>
      <c r="B72" s="138" t="s">
        <v>284</v>
      </c>
      <c r="C72" s="973"/>
      <c r="D72" s="219">
        <v>250</v>
      </c>
      <c r="E72" s="1145"/>
      <c r="F72" s="1146">
        <f t="shared" si="0"/>
        <v>250</v>
      </c>
    </row>
    <row r="73" spans="1:6" s="7" customFormat="1" ht="16.5" customHeight="1" thickBot="1">
      <c r="A73" s="101" t="s">
        <v>78</v>
      </c>
      <c r="B73" s="139" t="s">
        <v>285</v>
      </c>
      <c r="C73" s="957">
        <f>SUM(C74:C76)</f>
        <v>4000</v>
      </c>
      <c r="D73" s="958">
        <f>SUM(D74:D76)</f>
        <v>16442</v>
      </c>
      <c r="E73" s="958">
        <f>SUM(E74:E76)</f>
        <v>2051</v>
      </c>
      <c r="F73" s="1085">
        <f t="shared" si="0"/>
        <v>18493</v>
      </c>
    </row>
    <row r="74" spans="1:6" s="7" customFormat="1" ht="28.5" customHeight="1">
      <c r="A74" s="103" t="s">
        <v>49</v>
      </c>
      <c r="B74" s="136" t="s">
        <v>286</v>
      </c>
      <c r="C74" s="956"/>
      <c r="D74" s="212"/>
      <c r="E74" s="212"/>
      <c r="F74" s="207">
        <f t="shared" ref="F74:F137" si="1">D74+E74</f>
        <v>0</v>
      </c>
    </row>
    <row r="75" spans="1:6" s="7" customFormat="1" ht="29.25" customHeight="1">
      <c r="A75" s="104" t="s">
        <v>50</v>
      </c>
      <c r="B75" s="137" t="s">
        <v>408</v>
      </c>
      <c r="C75" s="949">
        <v>4000</v>
      </c>
      <c r="D75" s="949">
        <v>4000</v>
      </c>
      <c r="E75" s="1083"/>
      <c r="F75" s="1098">
        <f t="shared" si="1"/>
        <v>4000</v>
      </c>
    </row>
    <row r="76" spans="1:6" s="7" customFormat="1" ht="16.5" customHeight="1" thickBot="1">
      <c r="A76" s="105" t="s">
        <v>107</v>
      </c>
      <c r="B76" s="138" t="s">
        <v>287</v>
      </c>
      <c r="C76" s="959"/>
      <c r="D76" s="964">
        <v>12442</v>
      </c>
      <c r="E76" s="964">
        <v>2051</v>
      </c>
      <c r="F76" s="1147">
        <f t="shared" si="1"/>
        <v>14493</v>
      </c>
    </row>
    <row r="77" spans="1:6" s="7" customFormat="1" ht="21.75" customHeight="1" thickBot="1">
      <c r="A77" s="101" t="s">
        <v>79</v>
      </c>
      <c r="B77" s="60" t="s">
        <v>288</v>
      </c>
      <c r="C77" s="974">
        <f>+C8+C15+C26+C37+C46+C60+C69+C73</f>
        <v>2992836</v>
      </c>
      <c r="D77" s="975">
        <f>+D8+D15+D26+D37+D46+D60+D69+D73</f>
        <v>3552316</v>
      </c>
      <c r="E77" s="975">
        <f>+E8+E15+E26+E37+E46+E60+E69+E73</f>
        <v>-22314</v>
      </c>
      <c r="F77" s="1085">
        <f t="shared" si="1"/>
        <v>3530002</v>
      </c>
    </row>
    <row r="78" spans="1:6" s="7" customFormat="1" ht="16.5" customHeight="1" thickBot="1">
      <c r="A78" s="57" t="s">
        <v>289</v>
      </c>
      <c r="B78" s="139" t="s">
        <v>290</v>
      </c>
      <c r="C78" s="957">
        <f>SUM(C79:C81)</f>
        <v>0</v>
      </c>
      <c r="D78" s="958">
        <f>SUM(D79:D81)</f>
        <v>0</v>
      </c>
      <c r="E78" s="958"/>
      <c r="F78" s="1079">
        <f t="shared" si="1"/>
        <v>0</v>
      </c>
    </row>
    <row r="79" spans="1:6" s="7" customFormat="1" ht="16.5" customHeight="1">
      <c r="A79" s="103" t="s">
        <v>291</v>
      </c>
      <c r="B79" s="136" t="s">
        <v>292</v>
      </c>
      <c r="C79" s="956"/>
      <c r="D79" s="212"/>
      <c r="E79" s="212"/>
      <c r="F79" s="1087">
        <f t="shared" si="1"/>
        <v>0</v>
      </c>
    </row>
    <row r="80" spans="1:6" s="7" customFormat="1" ht="16.5" customHeight="1">
      <c r="A80" s="104" t="s">
        <v>293</v>
      </c>
      <c r="B80" s="137" t="s">
        <v>294</v>
      </c>
      <c r="C80" s="949"/>
      <c r="D80" s="198"/>
      <c r="E80" s="198"/>
      <c r="F80" s="1087">
        <f t="shared" si="1"/>
        <v>0</v>
      </c>
    </row>
    <row r="81" spans="1:6" s="7" customFormat="1" ht="16.5" customHeight="1" thickBot="1">
      <c r="A81" s="105" t="s">
        <v>295</v>
      </c>
      <c r="B81" s="145" t="s">
        <v>396</v>
      </c>
      <c r="C81" s="959"/>
      <c r="D81" s="219"/>
      <c r="E81" s="219"/>
      <c r="F81" s="1087">
        <f t="shared" si="1"/>
        <v>0</v>
      </c>
    </row>
    <row r="82" spans="1:6" s="7" customFormat="1" ht="16.5" customHeight="1" thickBot="1">
      <c r="A82" s="57" t="s">
        <v>296</v>
      </c>
      <c r="B82" s="139" t="s">
        <v>297</v>
      </c>
      <c r="C82" s="957">
        <f>SUM(C83:C86)</f>
        <v>0</v>
      </c>
      <c r="D82" s="958">
        <f>SUM(D83:D86)</f>
        <v>908981</v>
      </c>
      <c r="E82" s="958">
        <f>SUM(E83:E86)</f>
        <v>202718</v>
      </c>
      <c r="F82" s="1097">
        <f t="shared" si="1"/>
        <v>1111699</v>
      </c>
    </row>
    <row r="83" spans="1:6" s="7" customFormat="1" ht="16.5" customHeight="1">
      <c r="A83" s="103" t="s">
        <v>37</v>
      </c>
      <c r="B83" s="136" t="s">
        <v>298</v>
      </c>
      <c r="C83" s="956"/>
      <c r="D83" s="474">
        <v>908981</v>
      </c>
      <c r="E83" s="474">
        <v>202718</v>
      </c>
      <c r="F83" s="1090">
        <f t="shared" si="1"/>
        <v>1111699</v>
      </c>
    </row>
    <row r="84" spans="1:6" s="7" customFormat="1" ht="16.5" customHeight="1">
      <c r="A84" s="104" t="s">
        <v>38</v>
      </c>
      <c r="B84" s="137" t="s">
        <v>299</v>
      </c>
      <c r="C84" s="949"/>
      <c r="D84" s="198"/>
      <c r="E84" s="198"/>
      <c r="F84" s="1090"/>
    </row>
    <row r="85" spans="1:6" s="7" customFormat="1" ht="16.5" customHeight="1">
      <c r="A85" s="104" t="s">
        <v>300</v>
      </c>
      <c r="B85" s="137" t="s">
        <v>301</v>
      </c>
      <c r="C85" s="949"/>
      <c r="D85" s="198"/>
      <c r="E85" s="198"/>
      <c r="F85" s="1090"/>
    </row>
    <row r="86" spans="1:6" s="7" customFormat="1" ht="16.5" customHeight="1" thickBot="1">
      <c r="A86" s="105" t="s">
        <v>302</v>
      </c>
      <c r="B86" s="138" t="s">
        <v>303</v>
      </c>
      <c r="C86" s="959"/>
      <c r="D86" s="219"/>
      <c r="E86" s="219"/>
      <c r="F86" s="1090"/>
    </row>
    <row r="87" spans="1:6" s="7" customFormat="1" ht="16.5" customHeight="1" thickBot="1">
      <c r="A87" s="57" t="s">
        <v>304</v>
      </c>
      <c r="B87" s="139" t="s">
        <v>305</v>
      </c>
      <c r="C87" s="957">
        <f>SUM(C88+C91)</f>
        <v>696694</v>
      </c>
      <c r="D87" s="958">
        <f>SUM(D88+D91)</f>
        <v>1124635</v>
      </c>
      <c r="E87" s="958">
        <f>SUM(E88+E91)</f>
        <v>0</v>
      </c>
      <c r="F87" s="1085">
        <f t="shared" si="1"/>
        <v>1124635</v>
      </c>
    </row>
    <row r="88" spans="1:6" s="7" customFormat="1" ht="16.5" customHeight="1">
      <c r="A88" s="103" t="s">
        <v>51</v>
      </c>
      <c r="B88" s="136" t="s">
        <v>306</v>
      </c>
      <c r="C88" s="972">
        <f>SUM(C89:C90)</f>
        <v>696694</v>
      </c>
      <c r="D88" s="976">
        <f>SUM(D89:D90)</f>
        <v>1124635</v>
      </c>
      <c r="E88" s="976"/>
      <c r="F88" s="1100">
        <f t="shared" si="1"/>
        <v>1124635</v>
      </c>
    </row>
    <row r="89" spans="1:6" s="7" customFormat="1" ht="16.5" customHeight="1">
      <c r="A89" s="104" t="s">
        <v>399</v>
      </c>
      <c r="B89" s="178" t="s">
        <v>397</v>
      </c>
      <c r="C89" s="954">
        <v>335144</v>
      </c>
      <c r="D89" s="947">
        <v>564793</v>
      </c>
      <c r="E89" s="947"/>
      <c r="F89" s="1148">
        <f t="shared" si="1"/>
        <v>564793</v>
      </c>
    </row>
    <row r="90" spans="1:6" s="7" customFormat="1" ht="16.5" customHeight="1">
      <c r="A90" s="104" t="s">
        <v>400</v>
      </c>
      <c r="B90" s="178" t="s">
        <v>398</v>
      </c>
      <c r="C90" s="954">
        <v>361550</v>
      </c>
      <c r="D90" s="947">
        <v>559842</v>
      </c>
      <c r="E90" s="947"/>
      <c r="F90" s="1148">
        <f t="shared" si="1"/>
        <v>559842</v>
      </c>
    </row>
    <row r="91" spans="1:6" s="7" customFormat="1" ht="16.5" customHeight="1" thickBot="1">
      <c r="A91" s="105" t="s">
        <v>52</v>
      </c>
      <c r="B91" s="138" t="s">
        <v>307</v>
      </c>
      <c r="C91" s="961"/>
      <c r="D91" s="469"/>
      <c r="E91" s="469"/>
      <c r="F91" s="1101">
        <f t="shared" si="1"/>
        <v>0</v>
      </c>
    </row>
    <row r="92" spans="1:6" s="6" customFormat="1" ht="16.5" customHeight="1" thickBot="1">
      <c r="A92" s="57" t="s">
        <v>308</v>
      </c>
      <c r="B92" s="139" t="s">
        <v>309</v>
      </c>
      <c r="C92" s="957">
        <f>SUM(C93:C95)</f>
        <v>0</v>
      </c>
      <c r="D92" s="958">
        <f>SUM(D93:D95)</f>
        <v>0</v>
      </c>
      <c r="E92" s="958"/>
      <c r="F92" s="1074">
        <f t="shared" si="1"/>
        <v>0</v>
      </c>
    </row>
    <row r="93" spans="1:6" s="7" customFormat="1" ht="16.5" customHeight="1">
      <c r="A93" s="103" t="s">
        <v>310</v>
      </c>
      <c r="B93" s="136" t="s">
        <v>311</v>
      </c>
      <c r="C93" s="956"/>
      <c r="D93" s="212"/>
      <c r="E93" s="212"/>
      <c r="F93" s="1094">
        <f t="shared" si="1"/>
        <v>0</v>
      </c>
    </row>
    <row r="94" spans="1:6" s="7" customFormat="1" ht="16.5" customHeight="1">
      <c r="A94" s="104" t="s">
        <v>312</v>
      </c>
      <c r="B94" s="137" t="s">
        <v>313</v>
      </c>
      <c r="C94" s="949"/>
      <c r="D94" s="198"/>
      <c r="E94" s="198"/>
      <c r="F94" s="1087">
        <f t="shared" si="1"/>
        <v>0</v>
      </c>
    </row>
    <row r="95" spans="1:6" s="7" customFormat="1" ht="16.5" customHeight="1" thickBot="1">
      <c r="A95" s="105" t="s">
        <v>314</v>
      </c>
      <c r="B95" s="138" t="s">
        <v>315</v>
      </c>
      <c r="C95" s="959"/>
      <c r="D95" s="219"/>
      <c r="E95" s="219"/>
      <c r="F95" s="1101">
        <f t="shared" si="1"/>
        <v>0</v>
      </c>
    </row>
    <row r="96" spans="1:6" s="7" customFormat="1" ht="16.5" customHeight="1" thickBot="1">
      <c r="A96" s="57" t="s">
        <v>316</v>
      </c>
      <c r="B96" s="139" t="s">
        <v>317</v>
      </c>
      <c r="C96" s="957">
        <f>SUM(C97:C100)</f>
        <v>0</v>
      </c>
      <c r="D96" s="958">
        <f>SUM(D97:D100)</f>
        <v>0</v>
      </c>
      <c r="E96" s="958">
        <f>SUM(E97:E100)</f>
        <v>0</v>
      </c>
      <c r="F96" s="1074">
        <f t="shared" si="1"/>
        <v>0</v>
      </c>
    </row>
    <row r="97" spans="1:6" s="7" customFormat="1" ht="16.5" customHeight="1">
      <c r="A97" s="106" t="s">
        <v>318</v>
      </c>
      <c r="B97" s="136" t="s">
        <v>319</v>
      </c>
      <c r="C97" s="956"/>
      <c r="D97" s="212"/>
      <c r="E97" s="212"/>
      <c r="F97" s="1079">
        <f t="shared" si="1"/>
        <v>0</v>
      </c>
    </row>
    <row r="98" spans="1:6" s="7" customFormat="1" ht="16.5" customHeight="1">
      <c r="A98" s="107" t="s">
        <v>320</v>
      </c>
      <c r="B98" s="137" t="s">
        <v>321</v>
      </c>
      <c r="C98" s="949"/>
      <c r="D98" s="198"/>
      <c r="E98" s="198"/>
      <c r="F98" s="1087">
        <f t="shared" si="1"/>
        <v>0</v>
      </c>
    </row>
    <row r="99" spans="1:6" s="7" customFormat="1" ht="16.5" customHeight="1">
      <c r="A99" s="107" t="s">
        <v>322</v>
      </c>
      <c r="B99" s="137" t="s">
        <v>323</v>
      </c>
      <c r="C99" s="949"/>
      <c r="D99" s="198"/>
      <c r="E99" s="198"/>
      <c r="F99" s="1087">
        <f t="shared" si="1"/>
        <v>0</v>
      </c>
    </row>
    <row r="100" spans="1:6" s="6" customFormat="1" ht="16.5" customHeight="1" thickBot="1">
      <c r="A100" s="108" t="s">
        <v>324</v>
      </c>
      <c r="B100" s="138" t="s">
        <v>325</v>
      </c>
      <c r="C100" s="959"/>
      <c r="D100" s="217"/>
      <c r="E100" s="217"/>
      <c r="F100" s="1102">
        <f t="shared" si="1"/>
        <v>0</v>
      </c>
    </row>
    <row r="101" spans="1:6" s="6" customFormat="1" ht="16.5" customHeight="1" thickBot="1">
      <c r="A101" s="57" t="s">
        <v>326</v>
      </c>
      <c r="B101" s="139" t="s">
        <v>327</v>
      </c>
      <c r="C101" s="977"/>
      <c r="D101" s="978"/>
      <c r="E101" s="978"/>
      <c r="F101" s="1074">
        <f t="shared" si="1"/>
        <v>0</v>
      </c>
    </row>
    <row r="102" spans="1:6" s="6" customFormat="1" ht="16.5" customHeight="1" thickBot="1">
      <c r="A102" s="57" t="s">
        <v>328</v>
      </c>
      <c r="B102" s="147" t="s">
        <v>329</v>
      </c>
      <c r="C102" s="974">
        <f>+C78+C82+C87+C92+C96+C101</f>
        <v>696694</v>
      </c>
      <c r="D102" s="975">
        <f>+D78+D82+D87+D92+D96+D101</f>
        <v>2033616</v>
      </c>
      <c r="E102" s="975">
        <f>+E78+E82+E87+E92+E96+E101</f>
        <v>202718</v>
      </c>
      <c r="F102" s="1085">
        <f t="shared" si="1"/>
        <v>2236334</v>
      </c>
    </row>
    <row r="103" spans="1:6" s="6" customFormat="1" ht="23.25" customHeight="1" thickBot="1">
      <c r="A103" s="57" t="s">
        <v>330</v>
      </c>
      <c r="B103" s="147" t="s">
        <v>331</v>
      </c>
      <c r="C103" s="974">
        <f>+C77+C102</f>
        <v>3689530</v>
      </c>
      <c r="D103" s="975">
        <f>+D77+D102</f>
        <v>5585932</v>
      </c>
      <c r="E103" s="975">
        <f>+E77+E102</f>
        <v>180404</v>
      </c>
      <c r="F103" s="1141">
        <f>+F77+F102</f>
        <v>5766336</v>
      </c>
    </row>
    <row r="104" spans="1:6" ht="16.5" thickBot="1">
      <c r="A104" s="96"/>
      <c r="B104" s="97"/>
      <c r="C104" s="90"/>
      <c r="F104" s="1107">
        <f t="shared" si="1"/>
        <v>0</v>
      </c>
    </row>
    <row r="105" spans="1:6" s="3" customFormat="1" ht="32.25" customHeight="1" thickBot="1">
      <c r="A105" s="334"/>
      <c r="B105" s="233" t="s">
        <v>2</v>
      </c>
      <c r="C105" s="1108" t="s">
        <v>104</v>
      </c>
      <c r="D105" s="1065" t="s">
        <v>558</v>
      </c>
      <c r="E105" s="1109" t="s">
        <v>618</v>
      </c>
      <c r="F105" s="895" t="s">
        <v>471</v>
      </c>
    </row>
    <row r="106" spans="1:6" s="6" customFormat="1" ht="16.5" customHeight="1" thickBot="1">
      <c r="A106" s="101" t="s">
        <v>71</v>
      </c>
      <c r="B106" s="149" t="s">
        <v>364</v>
      </c>
      <c r="C106" s="1496">
        <f>SUM(C107:C111)</f>
        <v>1024356</v>
      </c>
      <c r="D106" s="957">
        <f>SUM(D107:D111)</f>
        <v>1400046</v>
      </c>
      <c r="E106" s="958">
        <f>SUM(E107:E111)</f>
        <v>142878</v>
      </c>
      <c r="F106" s="1085">
        <f>SUM(F107:F111)</f>
        <v>1542924</v>
      </c>
    </row>
    <row r="107" spans="1:6" s="26" customFormat="1" ht="16.5" customHeight="1">
      <c r="A107" s="103" t="s">
        <v>18</v>
      </c>
      <c r="B107" s="159" t="s">
        <v>98</v>
      </c>
      <c r="C107" s="960">
        <f>48608+18755</f>
        <v>67363</v>
      </c>
      <c r="D107" s="1138">
        <v>278285</v>
      </c>
      <c r="E107" s="1138">
        <v>63932</v>
      </c>
      <c r="F107" s="1139">
        <f t="shared" si="1"/>
        <v>342217</v>
      </c>
    </row>
    <row r="108" spans="1:6" s="26" customFormat="1" ht="16.5" customHeight="1">
      <c r="A108" s="104" t="s">
        <v>19</v>
      </c>
      <c r="B108" s="151" t="s">
        <v>53</v>
      </c>
      <c r="C108" s="950">
        <f>12639+5029</f>
        <v>17668</v>
      </c>
      <c r="D108" s="948">
        <v>46191</v>
      </c>
      <c r="E108" s="948">
        <v>9558</v>
      </c>
      <c r="F108" s="1139">
        <f t="shared" si="1"/>
        <v>55749</v>
      </c>
    </row>
    <row r="109" spans="1:6" s="26" customFormat="1" ht="16.5" customHeight="1">
      <c r="A109" s="104" t="s">
        <v>20</v>
      </c>
      <c r="B109" s="151" t="s">
        <v>35</v>
      </c>
      <c r="C109" s="950">
        <f>591600+61335</f>
        <v>652935</v>
      </c>
      <c r="D109" s="948">
        <v>708265</v>
      </c>
      <c r="E109" s="948">
        <f>77648+4000-52</f>
        <v>81596</v>
      </c>
      <c r="F109" s="1139">
        <f t="shared" si="1"/>
        <v>789861</v>
      </c>
    </row>
    <row r="110" spans="1:6" s="26" customFormat="1" ht="16.5" customHeight="1">
      <c r="A110" s="104" t="s">
        <v>21</v>
      </c>
      <c r="B110" s="151" t="s">
        <v>54</v>
      </c>
      <c r="C110" s="950">
        <v>28750</v>
      </c>
      <c r="D110" s="1149">
        <v>28750</v>
      </c>
      <c r="E110" s="1149">
        <f>52-1349</f>
        <v>-1297</v>
      </c>
      <c r="F110" s="1139">
        <f t="shared" si="1"/>
        <v>27453</v>
      </c>
    </row>
    <row r="111" spans="1:6" s="26" customFormat="1" ht="16.5" customHeight="1">
      <c r="A111" s="104" t="s">
        <v>29</v>
      </c>
      <c r="B111" s="151" t="s">
        <v>55</v>
      </c>
      <c r="C111" s="953">
        <f>SUM(C112:C119)</f>
        <v>257640</v>
      </c>
      <c r="D111" s="943">
        <f>SUM(D112:D119)</f>
        <v>338555</v>
      </c>
      <c r="E111" s="943">
        <f>SUM(E112:E119)</f>
        <v>-10911</v>
      </c>
      <c r="F111" s="1139">
        <f t="shared" si="1"/>
        <v>327644</v>
      </c>
    </row>
    <row r="112" spans="1:6" s="26" customFormat="1" ht="16.5" customHeight="1">
      <c r="A112" s="104" t="s">
        <v>410</v>
      </c>
      <c r="B112" s="153" t="s">
        <v>409</v>
      </c>
      <c r="C112" s="953"/>
      <c r="D112" s="948">
        <v>63257</v>
      </c>
      <c r="E112" s="948"/>
      <c r="F112" s="1139">
        <f t="shared" si="1"/>
        <v>63257</v>
      </c>
    </row>
    <row r="113" spans="1:6" s="26" customFormat="1" ht="16.5" customHeight="1">
      <c r="A113" s="104" t="s">
        <v>411</v>
      </c>
      <c r="B113" s="154" t="s">
        <v>332</v>
      </c>
      <c r="C113" s="953"/>
      <c r="D113" s="948"/>
      <c r="E113" s="948"/>
      <c r="F113" s="1139">
        <f t="shared" si="1"/>
        <v>0</v>
      </c>
    </row>
    <row r="114" spans="1:6" s="26" customFormat="1" ht="16.5" customHeight="1">
      <c r="A114" s="104" t="s">
        <v>412</v>
      </c>
      <c r="B114" s="154" t="s">
        <v>333</v>
      </c>
      <c r="C114" s="953"/>
      <c r="D114" s="948"/>
      <c r="E114" s="948"/>
      <c r="F114" s="1139">
        <f t="shared" si="1"/>
        <v>0</v>
      </c>
    </row>
    <row r="115" spans="1:6" s="26" customFormat="1" ht="16.5" customHeight="1">
      <c r="A115" s="104" t="s">
        <v>413</v>
      </c>
      <c r="B115" s="155" t="s">
        <v>334</v>
      </c>
      <c r="C115" s="953">
        <v>221840</v>
      </c>
      <c r="D115" s="948">
        <v>237726</v>
      </c>
      <c r="E115" s="948">
        <v>-11966</v>
      </c>
      <c r="F115" s="1139">
        <f t="shared" si="1"/>
        <v>225760</v>
      </c>
    </row>
    <row r="116" spans="1:6" s="26" customFormat="1" ht="16.5" customHeight="1">
      <c r="A116" s="104" t="s">
        <v>414</v>
      </c>
      <c r="B116" s="154" t="s">
        <v>335</v>
      </c>
      <c r="C116" s="953"/>
      <c r="D116" s="948"/>
      <c r="E116" s="948"/>
      <c r="F116" s="1139">
        <f t="shared" si="1"/>
        <v>0</v>
      </c>
    </row>
    <row r="117" spans="1:6" s="26" customFormat="1" ht="16.5" customHeight="1">
      <c r="A117" s="104" t="s">
        <v>415</v>
      </c>
      <c r="B117" s="154" t="s">
        <v>336</v>
      </c>
      <c r="C117" s="953"/>
      <c r="D117" s="948"/>
      <c r="E117" s="948"/>
      <c r="F117" s="1139">
        <f t="shared" si="1"/>
        <v>0</v>
      </c>
    </row>
    <row r="118" spans="1:6" s="26" customFormat="1" ht="16.5" customHeight="1">
      <c r="A118" s="104" t="s">
        <v>416</v>
      </c>
      <c r="B118" s="154" t="s">
        <v>337</v>
      </c>
      <c r="C118" s="953"/>
      <c r="D118" s="948"/>
      <c r="E118" s="948"/>
      <c r="F118" s="1139">
        <f t="shared" si="1"/>
        <v>0</v>
      </c>
    </row>
    <row r="119" spans="1:6" s="26" customFormat="1" ht="16.5" customHeight="1" thickBot="1">
      <c r="A119" s="105" t="s">
        <v>417</v>
      </c>
      <c r="B119" s="156" t="s">
        <v>338</v>
      </c>
      <c r="C119" s="963">
        <v>35800</v>
      </c>
      <c r="D119" s="1140">
        <v>37572</v>
      </c>
      <c r="E119" s="1140">
        <v>1055</v>
      </c>
      <c r="F119" s="1139">
        <f t="shared" si="1"/>
        <v>38627</v>
      </c>
    </row>
    <row r="120" spans="1:6" s="26" customFormat="1" ht="16.5" customHeight="1" thickBot="1">
      <c r="A120" s="101" t="s">
        <v>72</v>
      </c>
      <c r="B120" s="149" t="s">
        <v>418</v>
      </c>
      <c r="C120" s="957">
        <f>SUM(C121+C127+C128)</f>
        <v>1259099</v>
      </c>
      <c r="D120" s="958">
        <f>SUM(D121+D127+D128)</f>
        <v>1420711</v>
      </c>
      <c r="E120" s="958">
        <f>SUM(E121+E127+E128)</f>
        <v>-83324</v>
      </c>
      <c r="F120" s="1085">
        <f t="shared" si="1"/>
        <v>1337387</v>
      </c>
    </row>
    <row r="121" spans="1:6" s="26" customFormat="1" ht="16.5" customHeight="1">
      <c r="A121" s="1497" t="s">
        <v>24</v>
      </c>
      <c r="B121" s="1498" t="s">
        <v>108</v>
      </c>
      <c r="C121" s="1499">
        <f>SUM(C122:C126)</f>
        <v>1086539</v>
      </c>
      <c r="D121" s="1500">
        <f>SUM(D122:D126)</f>
        <v>1146078</v>
      </c>
      <c r="E121" s="1500">
        <f>SUM(E122:E126)</f>
        <v>-84824</v>
      </c>
      <c r="F121" s="1501">
        <f>SUM(F122:F126)</f>
        <v>1061254</v>
      </c>
    </row>
    <row r="122" spans="1:6" s="26" customFormat="1" ht="16.5" customHeight="1">
      <c r="A122" s="104" t="s">
        <v>401</v>
      </c>
      <c r="B122" s="328" t="s">
        <v>406</v>
      </c>
      <c r="C122" s="949">
        <v>551859</v>
      </c>
      <c r="D122" s="948">
        <v>546773</v>
      </c>
      <c r="E122" s="948">
        <f>-30267+6877</f>
        <v>-23390</v>
      </c>
      <c r="F122" s="1139">
        <f t="shared" si="1"/>
        <v>523383</v>
      </c>
    </row>
    <row r="123" spans="1:6" s="26" customFormat="1" ht="34.5" customHeight="1">
      <c r="A123" s="104" t="s">
        <v>402</v>
      </c>
      <c r="B123" s="328" t="s">
        <v>110</v>
      </c>
      <c r="C123" s="949">
        <f>391653</f>
        <v>391653</v>
      </c>
      <c r="D123" s="948">
        <v>392105</v>
      </c>
      <c r="E123" s="948">
        <v>-57271</v>
      </c>
      <c r="F123" s="1139">
        <f t="shared" si="1"/>
        <v>334834</v>
      </c>
    </row>
    <row r="124" spans="1:6" s="26" customFormat="1" ht="34.5" customHeight="1">
      <c r="A124" s="104" t="s">
        <v>403</v>
      </c>
      <c r="B124" s="328" t="s">
        <v>118</v>
      </c>
      <c r="C124" s="949">
        <f>94827</f>
        <v>94827</v>
      </c>
      <c r="D124" s="948">
        <v>145528</v>
      </c>
      <c r="E124" s="948">
        <v>-4135</v>
      </c>
      <c r="F124" s="1139">
        <f t="shared" si="1"/>
        <v>141393</v>
      </c>
    </row>
    <row r="125" spans="1:6" s="26" customFormat="1" ht="34.5" customHeight="1">
      <c r="A125" s="104" t="s">
        <v>404</v>
      </c>
      <c r="B125" s="328" t="s">
        <v>116</v>
      </c>
      <c r="C125" s="949">
        <v>34000</v>
      </c>
      <c r="D125" s="948">
        <v>46002</v>
      </c>
      <c r="E125" s="948"/>
      <c r="F125" s="1139">
        <f t="shared" si="1"/>
        <v>46002</v>
      </c>
    </row>
    <row r="126" spans="1:6" s="26" customFormat="1" ht="43.5" customHeight="1">
      <c r="A126" s="104" t="s">
        <v>405</v>
      </c>
      <c r="B126" s="328" t="s">
        <v>124</v>
      </c>
      <c r="C126" s="949">
        <v>14200</v>
      </c>
      <c r="D126" s="948">
        <v>15670</v>
      </c>
      <c r="E126" s="948">
        <v>-28</v>
      </c>
      <c r="F126" s="1139">
        <f t="shared" si="1"/>
        <v>15642</v>
      </c>
    </row>
    <row r="127" spans="1:6" s="26" customFormat="1" ht="16.5" customHeight="1">
      <c r="A127" s="700" t="s">
        <v>25</v>
      </c>
      <c r="B127" s="702" t="s">
        <v>56</v>
      </c>
      <c r="C127" s="954">
        <v>169060</v>
      </c>
      <c r="D127" s="947">
        <v>257381</v>
      </c>
      <c r="E127" s="947"/>
      <c r="F127" s="1148">
        <f t="shared" si="1"/>
        <v>257381</v>
      </c>
    </row>
    <row r="128" spans="1:6" s="26" customFormat="1" ht="16.5" customHeight="1">
      <c r="A128" s="104" t="s">
        <v>26</v>
      </c>
      <c r="B128" s="571" t="s">
        <v>109</v>
      </c>
      <c r="C128" s="955">
        <f>SUM(C129:C134)</f>
        <v>3500</v>
      </c>
      <c r="D128" s="946">
        <f>SUM(D129:D134)</f>
        <v>17252</v>
      </c>
      <c r="E128" s="946">
        <f>SUM(E129:E134)</f>
        <v>1500</v>
      </c>
      <c r="F128" s="1105">
        <f t="shared" si="1"/>
        <v>18752</v>
      </c>
    </row>
    <row r="129" spans="1:6" s="26" customFormat="1" ht="16.5" customHeight="1">
      <c r="A129" s="104" t="s">
        <v>366</v>
      </c>
      <c r="B129" s="151" t="s">
        <v>339</v>
      </c>
      <c r="C129" s="953"/>
      <c r="D129" s="945"/>
      <c r="E129" s="945"/>
      <c r="F129" s="1139">
        <f t="shared" si="1"/>
        <v>0</v>
      </c>
    </row>
    <row r="130" spans="1:6" s="26" customFormat="1" ht="16.5" customHeight="1">
      <c r="A130" s="104" t="s">
        <v>367</v>
      </c>
      <c r="B130" s="151" t="s">
        <v>333</v>
      </c>
      <c r="C130" s="953"/>
      <c r="D130" s="945"/>
      <c r="E130" s="945"/>
      <c r="F130" s="1139">
        <f t="shared" si="1"/>
        <v>0</v>
      </c>
    </row>
    <row r="131" spans="1:6" s="26" customFormat="1" ht="16.5" customHeight="1">
      <c r="A131" s="104" t="s">
        <v>368</v>
      </c>
      <c r="B131" s="151" t="s">
        <v>340</v>
      </c>
      <c r="C131" s="953"/>
      <c r="D131" s="945">
        <v>6522</v>
      </c>
      <c r="E131" s="945"/>
      <c r="F131" s="1139">
        <f t="shared" si="1"/>
        <v>6522</v>
      </c>
    </row>
    <row r="132" spans="1:6" s="26" customFormat="1" ht="18.75" customHeight="1">
      <c r="A132" s="104" t="s">
        <v>369</v>
      </c>
      <c r="B132" s="151" t="s">
        <v>407</v>
      </c>
      <c r="C132" s="953">
        <v>3000</v>
      </c>
      <c r="D132" s="945">
        <v>3000</v>
      </c>
      <c r="E132" s="945"/>
      <c r="F132" s="1139">
        <f t="shared" si="1"/>
        <v>3000</v>
      </c>
    </row>
    <row r="133" spans="1:6" s="26" customFormat="1" ht="16.5" customHeight="1">
      <c r="A133" s="104" t="s">
        <v>419</v>
      </c>
      <c r="B133" s="151" t="s">
        <v>578</v>
      </c>
      <c r="C133" s="953"/>
      <c r="D133" s="945">
        <v>6044</v>
      </c>
      <c r="E133" s="945"/>
      <c r="F133" s="1139">
        <f t="shared" si="1"/>
        <v>6044</v>
      </c>
    </row>
    <row r="134" spans="1:6" s="26" customFormat="1" ht="16.5" customHeight="1" thickBot="1">
      <c r="A134" s="209" t="s">
        <v>420</v>
      </c>
      <c r="B134" s="464" t="s">
        <v>341</v>
      </c>
      <c r="C134" s="1502">
        <v>500</v>
      </c>
      <c r="D134" s="1503">
        <v>1686</v>
      </c>
      <c r="E134" s="1503">
        <v>1500</v>
      </c>
      <c r="F134" s="1504">
        <f t="shared" si="1"/>
        <v>3186</v>
      </c>
    </row>
    <row r="135" spans="1:6" s="26" customFormat="1" ht="16.5" customHeight="1" thickBot="1">
      <c r="A135" s="101" t="s">
        <v>73</v>
      </c>
      <c r="B135" s="62" t="s">
        <v>342</v>
      </c>
      <c r="C135" s="970">
        <f>SUM(C136+C139)</f>
        <v>320825</v>
      </c>
      <c r="D135" s="971">
        <f>SUM(D136+D139)</f>
        <v>424573</v>
      </c>
      <c r="E135" s="971">
        <f>SUM(E136+E139)</f>
        <v>-120250</v>
      </c>
      <c r="F135" s="1085">
        <f t="shared" si="1"/>
        <v>304323</v>
      </c>
    </row>
    <row r="136" spans="1:6" s="26" customFormat="1" ht="16.5" customHeight="1">
      <c r="A136" s="980" t="s">
        <v>5</v>
      </c>
      <c r="B136" s="981" t="s">
        <v>421</v>
      </c>
      <c r="C136" s="982">
        <f>SUM(C137:C138)</f>
        <v>166825</v>
      </c>
      <c r="D136" s="983">
        <f>SUM(D137:D138)</f>
        <v>248117</v>
      </c>
      <c r="E136" s="983">
        <f>SUM(E137:E138)</f>
        <v>-98075</v>
      </c>
      <c r="F136" s="1106">
        <f t="shared" si="1"/>
        <v>150042</v>
      </c>
    </row>
    <row r="137" spans="1:6" s="26" customFormat="1" ht="16.5" customHeight="1">
      <c r="A137" s="104" t="s">
        <v>422</v>
      </c>
      <c r="B137" s="703" t="s">
        <v>424</v>
      </c>
      <c r="C137" s="952">
        <v>100000</v>
      </c>
      <c r="D137" s="948">
        <v>174078</v>
      </c>
      <c r="E137" s="948">
        <f>'1.1.sz.mell'!E136</f>
        <v>-98203</v>
      </c>
      <c r="F137" s="1139">
        <f t="shared" si="1"/>
        <v>75875</v>
      </c>
    </row>
    <row r="138" spans="1:6" s="26" customFormat="1" ht="16.5" customHeight="1">
      <c r="A138" s="104" t="s">
        <v>423</v>
      </c>
      <c r="B138" s="703" t="s">
        <v>425</v>
      </c>
      <c r="C138" s="952">
        <f>5000+25000+10000+21454+5371</f>
        <v>66825</v>
      </c>
      <c r="D138" s="948">
        <v>74039</v>
      </c>
      <c r="E138" s="948">
        <f>'1.1.sz.mell'!E137</f>
        <v>128</v>
      </c>
      <c r="F138" s="1139">
        <f>D138+E138</f>
        <v>74167</v>
      </c>
    </row>
    <row r="139" spans="1:6" s="26" customFormat="1" ht="16.5" customHeight="1">
      <c r="A139" s="700" t="s">
        <v>6</v>
      </c>
      <c r="B139" s="704" t="s">
        <v>426</v>
      </c>
      <c r="C139" s="954">
        <f>SUM(C140:C141)</f>
        <v>154000</v>
      </c>
      <c r="D139" s="944">
        <f>SUM(D140:D141)</f>
        <v>176456</v>
      </c>
      <c r="E139" s="944">
        <f>SUM(E140:E141)</f>
        <v>-22175</v>
      </c>
      <c r="F139" s="1091">
        <f>D139+E139</f>
        <v>154281</v>
      </c>
    </row>
    <row r="140" spans="1:6" s="26" customFormat="1" ht="16.5" customHeight="1">
      <c r="A140" s="701" t="s">
        <v>427</v>
      </c>
      <c r="B140" s="703" t="s">
        <v>424</v>
      </c>
      <c r="C140" s="952"/>
      <c r="D140" s="948"/>
      <c r="E140" s="948"/>
      <c r="F140" s="1139">
        <f>D140+E140</f>
        <v>0</v>
      </c>
    </row>
    <row r="141" spans="1:6" s="26" customFormat="1" ht="16.5" customHeight="1" thickBot="1">
      <c r="A141" s="984" t="s">
        <v>428</v>
      </c>
      <c r="B141" s="985" t="s">
        <v>425</v>
      </c>
      <c r="C141" s="961">
        <f>2000+50000+102000</f>
        <v>154000</v>
      </c>
      <c r="D141" s="1140">
        <v>176456</v>
      </c>
      <c r="E141" s="1140">
        <f>'1.1.sz.mell'!E140</f>
        <v>-22175</v>
      </c>
      <c r="F141" s="1139">
        <f>D141+E141</f>
        <v>154281</v>
      </c>
    </row>
    <row r="142" spans="1:6" s="26" customFormat="1" ht="16.5" customHeight="1" thickBot="1">
      <c r="A142" s="101" t="s">
        <v>74</v>
      </c>
      <c r="B142" s="62" t="s">
        <v>343</v>
      </c>
      <c r="C142" s="970">
        <f>+C106+C120+C135</f>
        <v>2604280</v>
      </c>
      <c r="D142" s="971">
        <f>+D106+D120+D135</f>
        <v>3245330</v>
      </c>
      <c r="E142" s="971">
        <f>+E106+E120+E135</f>
        <v>-60696</v>
      </c>
      <c r="F142" s="1085">
        <f t="shared" ref="F142:F164" si="2">D142+E142</f>
        <v>3184634</v>
      </c>
    </row>
    <row r="143" spans="1:6" s="26" customFormat="1" ht="16.5" customHeight="1" thickBot="1">
      <c r="A143" s="211" t="s">
        <v>75</v>
      </c>
      <c r="B143" s="493" t="s">
        <v>344</v>
      </c>
      <c r="C143" s="986">
        <f>+C144+C145+C146</f>
        <v>0</v>
      </c>
      <c r="D143" s="987">
        <f>+D144+D145+D146</f>
        <v>0</v>
      </c>
      <c r="E143" s="987"/>
      <c r="F143" s="1150">
        <f t="shared" si="2"/>
        <v>0</v>
      </c>
    </row>
    <row r="144" spans="1:6" s="6" customFormat="1" ht="16.5" customHeight="1">
      <c r="A144" s="103" t="s">
        <v>11</v>
      </c>
      <c r="B144" s="159" t="s">
        <v>345</v>
      </c>
      <c r="C144" s="950"/>
      <c r="D144" s="1151"/>
      <c r="E144" s="1151"/>
      <c r="F144" s="1152">
        <v>0</v>
      </c>
    </row>
    <row r="145" spans="1:11" s="26" customFormat="1" ht="16.5" customHeight="1">
      <c r="A145" s="104" t="s">
        <v>12</v>
      </c>
      <c r="B145" s="151" t="s">
        <v>346</v>
      </c>
      <c r="C145" s="950"/>
      <c r="D145" s="1149"/>
      <c r="E145" s="1149"/>
      <c r="F145" s="1152">
        <f t="shared" si="2"/>
        <v>0</v>
      </c>
    </row>
    <row r="146" spans="1:11" s="26" customFormat="1" ht="16.5" customHeight="1" thickBot="1">
      <c r="A146" s="105" t="s">
        <v>13</v>
      </c>
      <c r="B146" s="157" t="s">
        <v>347</v>
      </c>
      <c r="C146" s="973"/>
      <c r="D146" s="1153"/>
      <c r="E146" s="1153"/>
      <c r="F146" s="1154">
        <f t="shared" si="2"/>
        <v>0</v>
      </c>
    </row>
    <row r="147" spans="1:11" s="26" customFormat="1" ht="16.5" customHeight="1" thickBot="1">
      <c r="A147" s="101" t="s">
        <v>76</v>
      </c>
      <c r="B147" s="62" t="s">
        <v>348</v>
      </c>
      <c r="C147" s="957">
        <f>+C148+C149+C150+C151</f>
        <v>0</v>
      </c>
      <c r="D147" s="958">
        <f>+D148+D149+D150+D151</f>
        <v>1007680</v>
      </c>
      <c r="E147" s="958">
        <f>+E148+E149+E150+E151</f>
        <v>202718</v>
      </c>
      <c r="F147" s="1085">
        <f t="shared" si="2"/>
        <v>1210398</v>
      </c>
    </row>
    <row r="148" spans="1:11" s="26" customFormat="1" ht="16.5" customHeight="1">
      <c r="A148" s="103" t="s">
        <v>14</v>
      </c>
      <c r="B148" s="159" t="s">
        <v>349</v>
      </c>
      <c r="C148" s="960"/>
      <c r="D148" s="1138">
        <v>908981</v>
      </c>
      <c r="E148" s="1138">
        <v>202718</v>
      </c>
      <c r="F148" s="1139">
        <f t="shared" si="2"/>
        <v>1111699</v>
      </c>
    </row>
    <row r="149" spans="1:11" s="26" customFormat="1" ht="16.5" customHeight="1">
      <c r="A149" s="104" t="s">
        <v>15</v>
      </c>
      <c r="B149" s="151" t="s">
        <v>350</v>
      </c>
      <c r="C149" s="950"/>
      <c r="D149" s="1149"/>
      <c r="E149" s="1149"/>
      <c r="F149" s="1139"/>
    </row>
    <row r="150" spans="1:11" s="26" customFormat="1" ht="16.5" customHeight="1">
      <c r="A150" s="104" t="s">
        <v>279</v>
      </c>
      <c r="B150" s="151" t="s">
        <v>351</v>
      </c>
      <c r="C150" s="950"/>
      <c r="D150" s="1149"/>
      <c r="E150" s="1149"/>
      <c r="F150" s="1139"/>
    </row>
    <row r="151" spans="1:11" s="6" customFormat="1" ht="16.5" customHeight="1" thickBot="1">
      <c r="A151" s="105" t="s">
        <v>280</v>
      </c>
      <c r="B151" s="157" t="s">
        <v>352</v>
      </c>
      <c r="C151" s="973"/>
      <c r="D151" s="1140">
        <v>98699</v>
      </c>
      <c r="E151" s="1140"/>
      <c r="F151" s="1139">
        <f t="shared" si="2"/>
        <v>98699</v>
      </c>
    </row>
    <row r="152" spans="1:11" s="26" customFormat="1" ht="16.5" customHeight="1" thickBot="1">
      <c r="A152" s="101" t="s">
        <v>77</v>
      </c>
      <c r="B152" s="62" t="s">
        <v>430</v>
      </c>
      <c r="C152" s="974">
        <f>SUM(C153:C157)</f>
        <v>1085250</v>
      </c>
      <c r="D152" s="975">
        <f>SUM(D153:D157)</f>
        <v>1332922</v>
      </c>
      <c r="E152" s="975">
        <f>SUM(E153:E157)</f>
        <v>38382</v>
      </c>
      <c r="F152" s="1085">
        <f t="shared" si="2"/>
        <v>1371304</v>
      </c>
      <c r="K152" s="112"/>
    </row>
    <row r="153" spans="1:11" s="26" customFormat="1" ht="16.5" customHeight="1">
      <c r="A153" s="110" t="s">
        <v>16</v>
      </c>
      <c r="B153" s="150" t="s">
        <v>353</v>
      </c>
      <c r="C153" s="1103"/>
      <c r="D153" s="1155"/>
      <c r="E153" s="1155"/>
      <c r="F153" s="1150">
        <f t="shared" si="2"/>
        <v>0</v>
      </c>
    </row>
    <row r="154" spans="1:11" s="26" customFormat="1" ht="16.5" customHeight="1">
      <c r="A154" s="104" t="s">
        <v>17</v>
      </c>
      <c r="B154" s="151" t="s">
        <v>354</v>
      </c>
      <c r="C154" s="950"/>
      <c r="D154" s="1149"/>
      <c r="E154" s="1149"/>
      <c r="F154" s="1152">
        <f t="shared" si="2"/>
        <v>0</v>
      </c>
    </row>
    <row r="155" spans="1:11" s="26" customFormat="1" ht="16.5" customHeight="1">
      <c r="A155" s="104" t="s">
        <v>48</v>
      </c>
      <c r="B155" s="151" t="s">
        <v>429</v>
      </c>
      <c r="C155" s="950">
        <f>1084272+978</f>
        <v>1085250</v>
      </c>
      <c r="D155" s="948">
        <v>1332922</v>
      </c>
      <c r="E155" s="948">
        <v>38382</v>
      </c>
      <c r="F155" s="1096">
        <f t="shared" si="2"/>
        <v>1371304</v>
      </c>
    </row>
    <row r="156" spans="1:11" s="6" customFormat="1" ht="16.5" customHeight="1">
      <c r="A156" s="104" t="s">
        <v>121</v>
      </c>
      <c r="B156" s="151" t="s">
        <v>355</v>
      </c>
      <c r="C156" s="950"/>
      <c r="D156" s="1151"/>
      <c r="E156" s="1151"/>
      <c r="F156" s="1156">
        <f t="shared" si="2"/>
        <v>0</v>
      </c>
    </row>
    <row r="157" spans="1:11" s="6" customFormat="1" ht="16.5" customHeight="1" thickBot="1">
      <c r="A157" s="209" t="s">
        <v>122</v>
      </c>
      <c r="B157" s="464" t="s">
        <v>356</v>
      </c>
      <c r="C157" s="1104"/>
      <c r="D157" s="1157"/>
      <c r="E157" s="1157"/>
      <c r="F157" s="1154">
        <f t="shared" si="2"/>
        <v>0</v>
      </c>
    </row>
    <row r="158" spans="1:11" s="6" customFormat="1" ht="16.5" customHeight="1" thickBot="1">
      <c r="A158" s="101" t="s">
        <v>78</v>
      </c>
      <c r="B158" s="62" t="s">
        <v>357</v>
      </c>
      <c r="C158" s="989">
        <f>+C159+C160+C161+C162</f>
        <v>0</v>
      </c>
      <c r="D158" s="990">
        <f>+D159+D160+D161+D162</f>
        <v>0</v>
      </c>
      <c r="E158" s="990"/>
      <c r="F158" s="1158">
        <f t="shared" si="2"/>
        <v>0</v>
      </c>
    </row>
    <row r="159" spans="1:11" s="6" customFormat="1" ht="16.5" customHeight="1">
      <c r="A159" s="103" t="s">
        <v>49</v>
      </c>
      <c r="B159" s="159" t="s">
        <v>358</v>
      </c>
      <c r="C159" s="960"/>
      <c r="D159" s="1159"/>
      <c r="E159" s="1159"/>
      <c r="F159" s="1150">
        <f t="shared" si="2"/>
        <v>0</v>
      </c>
    </row>
    <row r="160" spans="1:11" s="6" customFormat="1" ht="16.5" customHeight="1">
      <c r="A160" s="104" t="s">
        <v>50</v>
      </c>
      <c r="B160" s="151" t="s">
        <v>359</v>
      </c>
      <c r="C160" s="950"/>
      <c r="D160" s="1151"/>
      <c r="E160" s="1151"/>
      <c r="F160" s="1152">
        <f t="shared" si="2"/>
        <v>0</v>
      </c>
    </row>
    <row r="161" spans="1:6" s="6" customFormat="1" ht="16.5" customHeight="1">
      <c r="A161" s="104" t="s">
        <v>107</v>
      </c>
      <c r="B161" s="151" t="s">
        <v>360</v>
      </c>
      <c r="C161" s="950"/>
      <c r="D161" s="1151"/>
      <c r="E161" s="1151"/>
      <c r="F161" s="1152">
        <f t="shared" si="2"/>
        <v>0</v>
      </c>
    </row>
    <row r="162" spans="1:6" s="26" customFormat="1" ht="16.5" customHeight="1" thickBot="1">
      <c r="A162" s="105" t="s">
        <v>119</v>
      </c>
      <c r="B162" s="157" t="s">
        <v>361</v>
      </c>
      <c r="C162" s="973"/>
      <c r="D162" s="1153"/>
      <c r="E162" s="1153"/>
      <c r="F162" s="1154">
        <f t="shared" si="2"/>
        <v>0</v>
      </c>
    </row>
    <row r="163" spans="1:6" s="26" customFormat="1" ht="16.5" customHeight="1" thickBot="1">
      <c r="A163" s="101" t="s">
        <v>79</v>
      </c>
      <c r="B163" s="62" t="s">
        <v>362</v>
      </c>
      <c r="C163" s="991">
        <f>+C143+C147+C152+C158</f>
        <v>1085250</v>
      </c>
      <c r="D163" s="992">
        <f>+D143+D147+D152+D158</f>
        <v>2340602</v>
      </c>
      <c r="E163" s="992">
        <f>+E143+E147+E152+E158</f>
        <v>241100</v>
      </c>
      <c r="F163" s="1085">
        <f t="shared" si="2"/>
        <v>2581702</v>
      </c>
    </row>
    <row r="164" spans="1:6" s="26" customFormat="1" ht="23.25" customHeight="1" thickBot="1">
      <c r="A164" s="36" t="s">
        <v>80</v>
      </c>
      <c r="B164" s="139" t="s">
        <v>363</v>
      </c>
      <c r="C164" s="991">
        <f>+C142+C163</f>
        <v>3689530</v>
      </c>
      <c r="D164" s="992">
        <f>+D142+D163</f>
        <v>5585932</v>
      </c>
      <c r="E164" s="992">
        <f>+E142+E163</f>
        <v>180404</v>
      </c>
      <c r="F164" s="1085">
        <f t="shared" si="2"/>
        <v>5766336</v>
      </c>
    </row>
    <row r="165" spans="1:6" s="26" customFormat="1" ht="16.5" customHeight="1" thickBot="1">
      <c r="A165" s="59"/>
      <c r="B165" s="56"/>
      <c r="C165" s="177"/>
    </row>
    <row r="166" spans="1:6" s="26" customFormat="1" ht="16.5" customHeight="1" thickBot="1">
      <c r="A166" s="115" t="s">
        <v>60</v>
      </c>
      <c r="B166" s="705"/>
      <c r="C166" s="1316">
        <v>10</v>
      </c>
      <c r="D166" s="1317">
        <v>10</v>
      </c>
      <c r="E166" s="1318"/>
      <c r="F166" s="1319">
        <f>D166+E166</f>
        <v>10</v>
      </c>
    </row>
    <row r="167" spans="1:6" s="26" customFormat="1" ht="16.5" customHeight="1" thickBot="1">
      <c r="A167" s="115" t="s">
        <v>61</v>
      </c>
      <c r="B167" s="705"/>
      <c r="C167" s="1320">
        <v>400</v>
      </c>
      <c r="D167" s="988">
        <v>400</v>
      </c>
      <c r="E167" s="988"/>
      <c r="F167" s="1319">
        <f>D167+E167</f>
        <v>400</v>
      </c>
    </row>
  </sheetData>
  <sheetProtection formatCells="0"/>
  <mergeCells count="4">
    <mergeCell ref="A2:A3"/>
    <mergeCell ref="B2:B3"/>
    <mergeCell ref="A7:E7"/>
    <mergeCell ref="C2:F3"/>
  </mergeCells>
  <printOptions horizontalCentered="1"/>
  <pageMargins left="0.19685039370078741" right="0.19685039370078741" top="0.78740157480314965" bottom="0.47244094488188981" header="0.59055118110236227" footer="0.39370078740157483"/>
  <pageSetup paperSize="9" scale="54" orientation="portrait" verticalDpi="300" r:id="rId1"/>
  <headerFooter alignWithMargins="0">
    <oddHeader>&amp;R&amp;"Times New Roman CE,Dőlt"&amp;12 9. sz. melléklet a .../2014.(...) önkormányzati rendelethez</oddHeader>
  </headerFooter>
  <rowBreaks count="2" manualBreakCount="2">
    <brk id="72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19</vt:i4>
      </vt:variant>
    </vt:vector>
  </HeadingPairs>
  <TitlesOfParts>
    <vt:vector size="36" baseType="lpstr">
      <vt:lpstr>1.1.sz.mell</vt:lpstr>
      <vt:lpstr>1.2.sz.mell</vt:lpstr>
      <vt:lpstr>1.3.sz.mell</vt:lpstr>
      <vt:lpstr>1.4.sz.mell</vt:lpstr>
      <vt:lpstr>2.1.sz.mell  </vt:lpstr>
      <vt:lpstr>2.2.sz.mell  </vt:lpstr>
      <vt:lpstr>6.sz.mell</vt:lpstr>
      <vt:lpstr>7.sz.mell</vt:lpstr>
      <vt:lpstr>9.sz.mell</vt:lpstr>
      <vt:lpstr>10.sz.mell</vt:lpstr>
      <vt:lpstr>11. sz.mell</vt:lpstr>
      <vt:lpstr>12.sz.mell</vt:lpstr>
      <vt:lpstr>13.1.sz.mell</vt:lpstr>
      <vt:lpstr>13.2.sz.mell</vt:lpstr>
      <vt:lpstr>13.3.sz.mell</vt:lpstr>
      <vt:lpstr>14. sz.mell.</vt:lpstr>
      <vt:lpstr>15. sz. mell.</vt:lpstr>
      <vt:lpstr>'1.1.sz.mell'!Nyomtatási_cím</vt:lpstr>
      <vt:lpstr>'1.2.sz.mell'!Nyomtatási_cím</vt:lpstr>
      <vt:lpstr>'1.3.sz.mell'!Nyomtatási_cím</vt:lpstr>
      <vt:lpstr>'1.4.sz.mell'!Nyomtatási_cím</vt:lpstr>
      <vt:lpstr>'10.sz.mell'!Nyomtatási_cím</vt:lpstr>
      <vt:lpstr>'11. sz.mell'!Nyomtatási_cím</vt:lpstr>
      <vt:lpstr>'12.sz.mell'!Nyomtatási_cím</vt:lpstr>
      <vt:lpstr>'13.1.sz.mell'!Nyomtatási_cím</vt:lpstr>
      <vt:lpstr>'13.2.sz.mell'!Nyomtatási_cím</vt:lpstr>
      <vt:lpstr>'13.3.sz.mell'!Nyomtatási_cím</vt:lpstr>
      <vt:lpstr>'6.sz.mell'!Nyomtatási_cím</vt:lpstr>
      <vt:lpstr>'9.sz.mell'!Nyomtatási_cím</vt:lpstr>
      <vt:lpstr>'1.1.sz.mell'!Nyomtatási_terület</vt:lpstr>
      <vt:lpstr>'1.2.sz.mell'!Nyomtatási_terület</vt:lpstr>
      <vt:lpstr>'1.3.sz.mell'!Nyomtatási_terület</vt:lpstr>
      <vt:lpstr>'1.4.sz.mell'!Nyomtatási_terület</vt:lpstr>
      <vt:lpstr>'14. sz.mell.'!Nyomtatási_terület</vt:lpstr>
      <vt:lpstr>'6.sz.mell'!Nyomtatási_terület</vt:lpstr>
      <vt:lpstr>'7.sz.mell'!Nyomtatási_terület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Orbánné Katika</cp:lastModifiedBy>
  <cp:lastPrinted>2014-11-18T13:30:24Z</cp:lastPrinted>
  <dcterms:created xsi:type="dcterms:W3CDTF">1999-10-30T10:30:45Z</dcterms:created>
  <dcterms:modified xsi:type="dcterms:W3CDTF">2014-11-19T08:02:14Z</dcterms:modified>
</cp:coreProperties>
</file>